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8195" windowHeight="7425"/>
  </bookViews>
  <sheets>
    <sheet name="P&amp;l and Balance Sheet" sheetId="1" r:id="rId1"/>
    <sheet name="Site improvements &amp; Cell Constr" sheetId="2" r:id="rId2"/>
    <sheet name="Rehabilitation Provision" sheetId="3" r:id="rId3"/>
    <sheet name="Landfill intangible" sheetId="4" r:id="rId4"/>
  </sheets>
  <definedNames>
    <definedName name="_xlnm.Print_Area" localSheetId="0">'P&amp;l and Balance Sheet'!$A$2:$H$44</definedName>
    <definedName name="_xlnm.Print_Area" localSheetId="1">'Site improvements &amp; Cell Constr'!$A$2:$E$24</definedName>
  </definedNames>
  <calcPr calcId="145621"/>
</workbook>
</file>

<file path=xl/calcChain.xml><?xml version="1.0" encoding="utf-8"?>
<calcChain xmlns="http://schemas.openxmlformats.org/spreadsheetml/2006/main">
  <c r="F27" i="1" l="1"/>
  <c r="G27" i="1"/>
  <c r="F11" i="4"/>
  <c r="P10" i="4"/>
  <c r="G12" i="1"/>
  <c r="E21" i="3"/>
  <c r="G21" i="3"/>
  <c r="H38" i="1" s="1"/>
  <c r="E20" i="3"/>
  <c r="C21" i="3"/>
  <c r="I20" i="4"/>
  <c r="I21" i="4"/>
  <c r="O11" i="4" l="1"/>
  <c r="C22" i="4"/>
  <c r="C23" i="4" s="1"/>
  <c r="C24" i="4" s="1"/>
  <c r="C25" i="4" s="1"/>
  <c r="F10" i="4"/>
  <c r="L7" i="4"/>
  <c r="L8" i="4" s="1"/>
  <c r="L9" i="4" s="1"/>
  <c r="L10" i="4" s="1"/>
  <c r="L12" i="4" s="1"/>
  <c r="M7" i="4"/>
  <c r="M8" i="4" s="1"/>
  <c r="M9" i="4" s="1"/>
  <c r="M10" i="4" s="1"/>
  <c r="M12" i="4" s="1"/>
  <c r="D10" i="1"/>
  <c r="C23" i="2"/>
  <c r="D23" i="1" l="1"/>
  <c r="D24" i="1" s="1"/>
  <c r="D26" i="1"/>
  <c r="E26" i="1" s="1"/>
  <c r="F26" i="1" s="1"/>
  <c r="G26" i="1" s="1"/>
  <c r="H26" i="1" s="1"/>
  <c r="C21" i="2"/>
  <c r="C24" i="1"/>
  <c r="E23" i="1" l="1"/>
  <c r="C25" i="1"/>
  <c r="D25" i="1" s="1"/>
  <c r="E25" i="1" s="1"/>
  <c r="F25" i="1" s="1"/>
  <c r="G25" i="1" s="1"/>
  <c r="H25" i="1" s="1"/>
  <c r="E24" i="1" l="1"/>
  <c r="F23" i="1"/>
  <c r="E7" i="1"/>
  <c r="F7" i="1" s="1"/>
  <c r="G7" i="1" s="1"/>
  <c r="H7" i="1" l="1"/>
  <c r="G23" i="1"/>
  <c r="F24" i="1"/>
  <c r="G17" i="3"/>
  <c r="G332" i="3"/>
  <c r="H332" i="3"/>
  <c r="I332" i="3"/>
  <c r="G333" i="3"/>
  <c r="H333" i="3"/>
  <c r="I333" i="3"/>
  <c r="G334" i="3"/>
  <c r="H334" i="3"/>
  <c r="I334" i="3"/>
  <c r="G335" i="3"/>
  <c r="H335" i="3"/>
  <c r="I335" i="3"/>
  <c r="G336" i="3"/>
  <c r="H336" i="3"/>
  <c r="I336" i="3"/>
  <c r="G337" i="3"/>
  <c r="H337" i="3"/>
  <c r="I337" i="3"/>
  <c r="G338" i="3"/>
  <c r="H338" i="3"/>
  <c r="I338" i="3"/>
  <c r="G339" i="3"/>
  <c r="H339" i="3"/>
  <c r="I339" i="3"/>
  <c r="G340" i="3"/>
  <c r="H340" i="3"/>
  <c r="I340" i="3"/>
  <c r="G341" i="3"/>
  <c r="H341" i="3"/>
  <c r="I341" i="3"/>
  <c r="G301" i="3"/>
  <c r="H301" i="3"/>
  <c r="I301" i="3"/>
  <c r="G302" i="3"/>
  <c r="H302" i="3"/>
  <c r="I302" i="3"/>
  <c r="G293" i="3"/>
  <c r="H293" i="3"/>
  <c r="J293" i="3" s="1"/>
  <c r="I293" i="3"/>
  <c r="G294" i="3"/>
  <c r="H294" i="3"/>
  <c r="I294" i="3"/>
  <c r="G295" i="3"/>
  <c r="H295" i="3"/>
  <c r="I295" i="3"/>
  <c r="G296" i="3"/>
  <c r="H296" i="3"/>
  <c r="I296" i="3"/>
  <c r="G297" i="3"/>
  <c r="H297" i="3"/>
  <c r="I297" i="3"/>
  <c r="G298" i="3"/>
  <c r="H298" i="3"/>
  <c r="I298" i="3"/>
  <c r="G299" i="3"/>
  <c r="H299" i="3"/>
  <c r="I299" i="3"/>
  <c r="G300" i="3"/>
  <c r="H300" i="3"/>
  <c r="I300" i="3"/>
  <c r="G260" i="3"/>
  <c r="H260" i="3"/>
  <c r="I260" i="3"/>
  <c r="G261" i="3"/>
  <c r="H261" i="3"/>
  <c r="I261" i="3"/>
  <c r="G252" i="3"/>
  <c r="H252" i="3"/>
  <c r="I252" i="3"/>
  <c r="G253" i="3"/>
  <c r="H253" i="3"/>
  <c r="I253" i="3"/>
  <c r="G254" i="3"/>
  <c r="H254" i="3"/>
  <c r="I254" i="3"/>
  <c r="G255" i="3"/>
  <c r="H255" i="3"/>
  <c r="I255" i="3"/>
  <c r="G256" i="3"/>
  <c r="H256" i="3"/>
  <c r="I256" i="3"/>
  <c r="G257" i="3"/>
  <c r="H257" i="3"/>
  <c r="I257" i="3"/>
  <c r="G258" i="3"/>
  <c r="H258" i="3"/>
  <c r="I258" i="3"/>
  <c r="G259" i="3"/>
  <c r="H259" i="3"/>
  <c r="I259" i="3"/>
  <c r="G212" i="3"/>
  <c r="H212" i="3"/>
  <c r="I212" i="3"/>
  <c r="G213" i="3"/>
  <c r="H213" i="3"/>
  <c r="I213" i="3"/>
  <c r="G214" i="3"/>
  <c r="H214" i="3"/>
  <c r="I214" i="3"/>
  <c r="G215" i="3"/>
  <c r="H215" i="3"/>
  <c r="I215" i="3"/>
  <c r="G216" i="3"/>
  <c r="H216" i="3"/>
  <c r="I216" i="3"/>
  <c r="G217" i="3"/>
  <c r="H217" i="3"/>
  <c r="I217" i="3"/>
  <c r="G218" i="3"/>
  <c r="H218" i="3"/>
  <c r="I218" i="3"/>
  <c r="G219" i="3"/>
  <c r="H219" i="3"/>
  <c r="I219" i="3"/>
  <c r="G220" i="3"/>
  <c r="H220" i="3"/>
  <c r="I220" i="3"/>
  <c r="G221" i="3"/>
  <c r="H221" i="3"/>
  <c r="I221" i="3"/>
  <c r="G172" i="3"/>
  <c r="H172" i="3"/>
  <c r="I172" i="3"/>
  <c r="G173" i="3"/>
  <c r="H173" i="3"/>
  <c r="I173" i="3"/>
  <c r="G174" i="3"/>
  <c r="H174" i="3"/>
  <c r="I174" i="3"/>
  <c r="G175" i="3"/>
  <c r="H175" i="3"/>
  <c r="I175" i="3"/>
  <c r="G176" i="3"/>
  <c r="H176" i="3"/>
  <c r="I176" i="3"/>
  <c r="G177" i="3"/>
  <c r="H177" i="3"/>
  <c r="I177" i="3"/>
  <c r="G178" i="3"/>
  <c r="H178" i="3"/>
  <c r="I178" i="3"/>
  <c r="G179" i="3"/>
  <c r="H179" i="3"/>
  <c r="I179" i="3"/>
  <c r="G180" i="3"/>
  <c r="H180" i="3"/>
  <c r="I180" i="3"/>
  <c r="G181" i="3"/>
  <c r="H181" i="3"/>
  <c r="I181" i="3"/>
  <c r="G132" i="3"/>
  <c r="H132" i="3"/>
  <c r="I132" i="3"/>
  <c r="G133" i="3"/>
  <c r="H133" i="3"/>
  <c r="I133" i="3"/>
  <c r="G134" i="3"/>
  <c r="H134" i="3"/>
  <c r="I134" i="3"/>
  <c r="G135" i="3"/>
  <c r="H135" i="3"/>
  <c r="I135" i="3"/>
  <c r="G136" i="3"/>
  <c r="H136" i="3"/>
  <c r="I136" i="3"/>
  <c r="G137" i="3"/>
  <c r="H137" i="3"/>
  <c r="I137" i="3"/>
  <c r="G138" i="3"/>
  <c r="H138" i="3"/>
  <c r="I138" i="3"/>
  <c r="G139" i="3"/>
  <c r="H139" i="3"/>
  <c r="I139" i="3"/>
  <c r="G140" i="3"/>
  <c r="H140" i="3"/>
  <c r="I140" i="3"/>
  <c r="G141" i="3"/>
  <c r="H141" i="3"/>
  <c r="I141" i="3"/>
  <c r="G101" i="3"/>
  <c r="H101" i="3"/>
  <c r="I101" i="3"/>
  <c r="G102" i="3"/>
  <c r="H102" i="3"/>
  <c r="I102" i="3"/>
  <c r="G93" i="3"/>
  <c r="H93" i="3"/>
  <c r="I93" i="3"/>
  <c r="G94" i="3"/>
  <c r="H94" i="3"/>
  <c r="I94" i="3"/>
  <c r="G95" i="3"/>
  <c r="H95" i="3"/>
  <c r="I95" i="3"/>
  <c r="G96" i="3"/>
  <c r="H96" i="3"/>
  <c r="I96" i="3"/>
  <c r="G97" i="3"/>
  <c r="H97" i="3"/>
  <c r="I97" i="3"/>
  <c r="G98" i="3"/>
  <c r="H98" i="3"/>
  <c r="I98" i="3"/>
  <c r="G99" i="3"/>
  <c r="H99" i="3"/>
  <c r="I99" i="3"/>
  <c r="G100" i="3"/>
  <c r="H100" i="3"/>
  <c r="I100" i="3"/>
  <c r="G58" i="3"/>
  <c r="H58" i="3"/>
  <c r="I58" i="3"/>
  <c r="G59" i="3"/>
  <c r="H59" i="3"/>
  <c r="I59" i="3"/>
  <c r="G60" i="3"/>
  <c r="H60" i="3"/>
  <c r="I60" i="3"/>
  <c r="G61" i="3"/>
  <c r="H61" i="3"/>
  <c r="I61" i="3"/>
  <c r="G62" i="3"/>
  <c r="H62" i="3"/>
  <c r="I62" i="3"/>
  <c r="G53" i="3"/>
  <c r="H53" i="3"/>
  <c r="I53" i="3"/>
  <c r="G54" i="3"/>
  <c r="H54" i="3"/>
  <c r="I54" i="3"/>
  <c r="G55" i="3"/>
  <c r="H55" i="3"/>
  <c r="I55" i="3"/>
  <c r="G56" i="3"/>
  <c r="H56" i="3"/>
  <c r="I56" i="3"/>
  <c r="G57" i="3"/>
  <c r="H57" i="3"/>
  <c r="I57" i="3"/>
  <c r="G52" i="3"/>
  <c r="G24" i="1" l="1"/>
  <c r="H23" i="1"/>
  <c r="H24" i="1" s="1"/>
  <c r="J302" i="3"/>
  <c r="J300" i="3"/>
  <c r="J297" i="3"/>
  <c r="J260" i="3"/>
  <c r="J332" i="3"/>
  <c r="J338" i="3"/>
  <c r="J337" i="3"/>
  <c r="J335" i="3"/>
  <c r="J334" i="3"/>
  <c r="J341" i="3"/>
  <c r="J339" i="3"/>
  <c r="J340" i="3"/>
  <c r="J336" i="3"/>
  <c r="J333" i="3"/>
  <c r="J259" i="3"/>
  <c r="J256" i="3"/>
  <c r="J255" i="3"/>
  <c r="J254" i="3"/>
  <c r="J253" i="3"/>
  <c r="J252" i="3"/>
  <c r="J261" i="3"/>
  <c r="J258" i="3"/>
  <c r="J257" i="3"/>
  <c r="J294" i="3"/>
  <c r="J298" i="3"/>
  <c r="J299" i="3"/>
  <c r="J301" i="3"/>
  <c r="J296" i="3"/>
  <c r="J295" i="3"/>
  <c r="J181" i="3"/>
  <c r="J180" i="3"/>
  <c r="J179" i="3"/>
  <c r="J178" i="3"/>
  <c r="J221" i="3"/>
  <c r="J220" i="3"/>
  <c r="J218" i="3"/>
  <c r="J217" i="3"/>
  <c r="J215" i="3"/>
  <c r="J212" i="3"/>
  <c r="J213" i="3"/>
  <c r="J214" i="3"/>
  <c r="J219" i="3"/>
  <c r="J216" i="3"/>
  <c r="J174" i="3"/>
  <c r="J173" i="3"/>
  <c r="J172" i="3"/>
  <c r="J177" i="3"/>
  <c r="J176" i="3"/>
  <c r="J175" i="3"/>
  <c r="J56" i="3"/>
  <c r="J55" i="3"/>
  <c r="J54" i="3"/>
  <c r="J53" i="3"/>
  <c r="J141" i="3"/>
  <c r="J140" i="3"/>
  <c r="J139" i="3"/>
  <c r="J136" i="3"/>
  <c r="J133" i="3"/>
  <c r="J132" i="3"/>
  <c r="J62" i="3"/>
  <c r="J61" i="3"/>
  <c r="J59" i="3"/>
  <c r="J57" i="3"/>
  <c r="J96" i="3"/>
  <c r="J95" i="3"/>
  <c r="J93" i="3"/>
  <c r="J135" i="3"/>
  <c r="J134" i="3"/>
  <c r="J60" i="3"/>
  <c r="J58" i="3"/>
  <c r="J138" i="3"/>
  <c r="J137" i="3"/>
  <c r="J99" i="3"/>
  <c r="J97" i="3"/>
  <c r="J101" i="3"/>
  <c r="J98" i="3"/>
  <c r="J94" i="3"/>
  <c r="J100" i="3"/>
  <c r="J102" i="3"/>
  <c r="J306" i="3" l="1"/>
  <c r="I292" i="3"/>
  <c r="H292" i="3"/>
  <c r="G292" i="3"/>
  <c r="I291" i="3"/>
  <c r="H291" i="3"/>
  <c r="G291" i="3"/>
  <c r="I290" i="3"/>
  <c r="H290" i="3"/>
  <c r="G290" i="3"/>
  <c r="I289" i="3"/>
  <c r="H289" i="3"/>
  <c r="G289" i="3"/>
  <c r="I288" i="3"/>
  <c r="H288" i="3"/>
  <c r="G288" i="3"/>
  <c r="I287" i="3"/>
  <c r="H287" i="3"/>
  <c r="G287" i="3"/>
  <c r="I286" i="3"/>
  <c r="H286" i="3"/>
  <c r="G286" i="3"/>
  <c r="I285" i="3"/>
  <c r="H285" i="3"/>
  <c r="G285" i="3"/>
  <c r="I284" i="3"/>
  <c r="H284" i="3"/>
  <c r="G284" i="3"/>
  <c r="I283" i="3"/>
  <c r="H283" i="3"/>
  <c r="G283" i="3"/>
  <c r="I282" i="3"/>
  <c r="H282" i="3"/>
  <c r="G282" i="3"/>
  <c r="I281" i="3"/>
  <c r="H281" i="3"/>
  <c r="G281" i="3"/>
  <c r="I280" i="3"/>
  <c r="H280" i="3"/>
  <c r="G280" i="3"/>
  <c r="I279" i="3"/>
  <c r="H279" i="3"/>
  <c r="G279" i="3"/>
  <c r="I278" i="3"/>
  <c r="H278" i="3"/>
  <c r="G278" i="3"/>
  <c r="I277" i="3"/>
  <c r="H277" i="3"/>
  <c r="G277" i="3"/>
  <c r="I276" i="3"/>
  <c r="H276" i="3"/>
  <c r="G276" i="3"/>
  <c r="I275" i="3"/>
  <c r="H275" i="3"/>
  <c r="G275" i="3"/>
  <c r="I274" i="3"/>
  <c r="H274" i="3"/>
  <c r="G274" i="3"/>
  <c r="I273" i="3"/>
  <c r="H273" i="3"/>
  <c r="G273" i="3"/>
  <c r="I272" i="3"/>
  <c r="H272" i="3"/>
  <c r="G272" i="3"/>
  <c r="I271" i="3"/>
  <c r="G271" i="3"/>
  <c r="I270" i="3"/>
  <c r="G270" i="3"/>
  <c r="I269" i="3"/>
  <c r="G269" i="3"/>
  <c r="I268" i="3"/>
  <c r="G268" i="3"/>
  <c r="O12" i="4"/>
  <c r="C19" i="1"/>
  <c r="D19" i="1" s="1"/>
  <c r="E19" i="1" s="1"/>
  <c r="F19" i="1" s="1"/>
  <c r="G19" i="1" s="1"/>
  <c r="H19" i="1" s="1"/>
  <c r="C14" i="1"/>
  <c r="C15" i="2"/>
  <c r="C27" i="1"/>
  <c r="C29" i="1" s="1"/>
  <c r="E22" i="4"/>
  <c r="G22" i="4" s="1"/>
  <c r="E23" i="4"/>
  <c r="G23" i="4" s="1"/>
  <c r="E24" i="4"/>
  <c r="G24" i="4" s="1"/>
  <c r="E25" i="4"/>
  <c r="G25" i="4" s="1"/>
  <c r="I24" i="4" s="1"/>
  <c r="E21" i="4"/>
  <c r="G21" i="4" s="1"/>
  <c r="I6" i="4"/>
  <c r="D7" i="4" s="1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5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11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I310" i="3"/>
  <c r="G310" i="3"/>
  <c r="I309" i="3"/>
  <c r="G309" i="3"/>
  <c r="I308" i="3"/>
  <c r="G308" i="3"/>
  <c r="I307" i="3"/>
  <c r="G307" i="3"/>
  <c r="I227" i="3"/>
  <c r="I228" i="3"/>
  <c r="I229" i="3"/>
  <c r="I230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3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188" i="3"/>
  <c r="I189" i="3"/>
  <c r="I190" i="3"/>
  <c r="I19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09" i="3"/>
  <c r="I110" i="3"/>
  <c r="I111" i="3"/>
  <c r="G111" i="3"/>
  <c r="I149" i="3"/>
  <c r="I150" i="3"/>
  <c r="G151" i="3"/>
  <c r="I108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69" i="3"/>
  <c r="H251" i="3"/>
  <c r="G251" i="3"/>
  <c r="H250" i="3"/>
  <c r="G250" i="3"/>
  <c r="H249" i="3"/>
  <c r="G249" i="3"/>
  <c r="H248" i="3"/>
  <c r="G248" i="3"/>
  <c r="H247" i="3"/>
  <c r="G247" i="3"/>
  <c r="H246" i="3"/>
  <c r="G246" i="3"/>
  <c r="H245" i="3"/>
  <c r="G245" i="3"/>
  <c r="H244" i="3"/>
  <c r="G244" i="3"/>
  <c r="H243" i="3"/>
  <c r="G243" i="3"/>
  <c r="H242" i="3"/>
  <c r="G242" i="3"/>
  <c r="H241" i="3"/>
  <c r="G241" i="3"/>
  <c r="H240" i="3"/>
  <c r="G240" i="3"/>
  <c r="H239" i="3"/>
  <c r="G239" i="3"/>
  <c r="H238" i="3"/>
  <c r="G238" i="3"/>
  <c r="H237" i="3"/>
  <c r="G237" i="3"/>
  <c r="H236" i="3"/>
  <c r="G236" i="3"/>
  <c r="H235" i="3"/>
  <c r="G235" i="3"/>
  <c r="H234" i="3"/>
  <c r="G234" i="3"/>
  <c r="H233" i="3"/>
  <c r="G233" i="3"/>
  <c r="H232" i="3"/>
  <c r="G232" i="3"/>
  <c r="H231" i="3"/>
  <c r="G231" i="3"/>
  <c r="G230" i="3"/>
  <c r="G229" i="3"/>
  <c r="G228" i="3"/>
  <c r="G227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191" i="3"/>
  <c r="H152" i="3"/>
  <c r="H153" i="3"/>
  <c r="H154" i="3"/>
  <c r="H155" i="3"/>
  <c r="H156" i="3"/>
  <c r="H157" i="3"/>
  <c r="J157" i="3" s="1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5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11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7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3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189" i="3"/>
  <c r="G190" i="3"/>
  <c r="G191" i="3"/>
  <c r="G192" i="3"/>
  <c r="G188" i="3"/>
  <c r="I187" i="3"/>
  <c r="G187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0" i="3"/>
  <c r="G149" i="3"/>
  <c r="I148" i="3"/>
  <c r="G148" i="3"/>
  <c r="I147" i="3"/>
  <c r="G147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08" i="3"/>
  <c r="G109" i="3"/>
  <c r="G110" i="3"/>
  <c r="G107" i="3"/>
  <c r="G112" i="3"/>
  <c r="I107" i="3"/>
  <c r="I68" i="3"/>
  <c r="G68" i="3"/>
  <c r="I28" i="3"/>
  <c r="I29" i="3"/>
  <c r="I30" i="3"/>
  <c r="I31" i="3"/>
  <c r="I32" i="3"/>
  <c r="G28" i="3"/>
  <c r="G29" i="3"/>
  <c r="G30" i="3"/>
  <c r="G31" i="3"/>
  <c r="G32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33" i="3"/>
  <c r="I33" i="3"/>
  <c r="C13" i="2"/>
  <c r="I23" i="4" l="1"/>
  <c r="I22" i="4"/>
  <c r="O10" i="4"/>
  <c r="J122" i="3"/>
  <c r="J202" i="3"/>
  <c r="J272" i="3"/>
  <c r="J273" i="3"/>
  <c r="J274" i="3"/>
  <c r="J275" i="3"/>
  <c r="J276" i="3"/>
  <c r="J277" i="3"/>
  <c r="J281" i="3"/>
  <c r="J282" i="3"/>
  <c r="J283" i="3"/>
  <c r="J284" i="3"/>
  <c r="J285" i="3"/>
  <c r="J286" i="3"/>
  <c r="J289" i="3"/>
  <c r="J123" i="3"/>
  <c r="J169" i="3"/>
  <c r="J280" i="3"/>
  <c r="J290" i="3"/>
  <c r="J291" i="3"/>
  <c r="J292" i="3"/>
  <c r="J278" i="3"/>
  <c r="J279" i="3"/>
  <c r="J287" i="3"/>
  <c r="J288" i="3"/>
  <c r="J92" i="3"/>
  <c r="J87" i="3"/>
  <c r="J78" i="3"/>
  <c r="J117" i="3"/>
  <c r="J166" i="3"/>
  <c r="J206" i="3"/>
  <c r="J131" i="3"/>
  <c r="J119" i="3"/>
  <c r="J211" i="3"/>
  <c r="J208" i="3"/>
  <c r="J205" i="3"/>
  <c r="J199" i="3"/>
  <c r="J196" i="3"/>
  <c r="J193" i="3"/>
  <c r="J313" i="3"/>
  <c r="J316" i="3"/>
  <c r="J151" i="3"/>
  <c r="J160" i="3"/>
  <c r="J322" i="3"/>
  <c r="J325" i="3"/>
  <c r="J163" i="3"/>
  <c r="J154" i="3"/>
  <c r="J129" i="3"/>
  <c r="J126" i="3"/>
  <c r="J120" i="3"/>
  <c r="J114" i="3"/>
  <c r="J191" i="3"/>
  <c r="J197" i="3"/>
  <c r="J171" i="3"/>
  <c r="E10" i="1"/>
  <c r="F10" i="1" s="1"/>
  <c r="J74" i="3"/>
  <c r="J83" i="3"/>
  <c r="J250" i="3"/>
  <c r="J312" i="3"/>
  <c r="J315" i="3"/>
  <c r="J321" i="3"/>
  <c r="J115" i="3"/>
  <c r="J89" i="3"/>
  <c r="J244" i="3"/>
  <c r="J86" i="3"/>
  <c r="J80" i="3"/>
  <c r="J77" i="3"/>
  <c r="J232" i="3"/>
  <c r="J235" i="3"/>
  <c r="J238" i="3"/>
  <c r="J241" i="3"/>
  <c r="J247" i="3"/>
  <c r="J91" i="3"/>
  <c r="J88" i="3"/>
  <c r="J85" i="3"/>
  <c r="J82" i="3"/>
  <c r="J79" i="3"/>
  <c r="J76" i="3"/>
  <c r="J73" i="3"/>
  <c r="J130" i="3"/>
  <c r="J127" i="3"/>
  <c r="J121" i="3"/>
  <c r="J118" i="3"/>
  <c r="J112" i="3"/>
  <c r="J210" i="3"/>
  <c r="J207" i="3"/>
  <c r="J204" i="3"/>
  <c r="J201" i="3"/>
  <c r="J198" i="3"/>
  <c r="J195" i="3"/>
  <c r="J192" i="3"/>
  <c r="J246" i="3"/>
  <c r="J314" i="3"/>
  <c r="J323" i="3"/>
  <c r="J328" i="3"/>
  <c r="J331" i="3"/>
  <c r="J90" i="3"/>
  <c r="J84" i="3"/>
  <c r="J81" i="3"/>
  <c r="J75" i="3"/>
  <c r="J72" i="3"/>
  <c r="J111" i="3"/>
  <c r="J209" i="3"/>
  <c r="J203" i="3"/>
  <c r="J200" i="3"/>
  <c r="J194" i="3"/>
  <c r="J52" i="3"/>
  <c r="J46" i="3"/>
  <c r="J40" i="3"/>
  <c r="J37" i="3"/>
  <c r="J153" i="3"/>
  <c r="J156" i="3"/>
  <c r="J159" i="3"/>
  <c r="J162" i="3"/>
  <c r="J168" i="3"/>
  <c r="J32" i="3"/>
  <c r="J50" i="3"/>
  <c r="J47" i="3"/>
  <c r="J44" i="3"/>
  <c r="J41" i="3"/>
  <c r="J38" i="3"/>
  <c r="J35" i="3"/>
  <c r="J49" i="3"/>
  <c r="J43" i="3"/>
  <c r="J34" i="3"/>
  <c r="J165" i="3"/>
  <c r="J51" i="3"/>
  <c r="J48" i="3"/>
  <c r="J45" i="3"/>
  <c r="J42" i="3"/>
  <c r="J39" i="3"/>
  <c r="J36" i="3"/>
  <c r="J33" i="3"/>
  <c r="J231" i="3"/>
  <c r="J234" i="3"/>
  <c r="J237" i="3"/>
  <c r="J319" i="3"/>
  <c r="J152" i="3"/>
  <c r="J155" i="3"/>
  <c r="J158" i="3"/>
  <c r="J161" i="3"/>
  <c r="J164" i="3"/>
  <c r="J167" i="3"/>
  <c r="J170" i="3"/>
  <c r="J242" i="3"/>
  <c r="J251" i="3"/>
  <c r="J324" i="3"/>
  <c r="J124" i="3"/>
  <c r="J233" i="3"/>
  <c r="J236" i="3"/>
  <c r="J245" i="3"/>
  <c r="J128" i="3"/>
  <c r="J125" i="3"/>
  <c r="J116" i="3"/>
  <c r="J113" i="3"/>
  <c r="J320" i="3"/>
  <c r="J311" i="3"/>
  <c r="J329" i="3"/>
  <c r="J330" i="3"/>
  <c r="J317" i="3"/>
  <c r="J318" i="3"/>
  <c r="J326" i="3"/>
  <c r="J327" i="3"/>
  <c r="J240" i="3"/>
  <c r="J249" i="3"/>
  <c r="J239" i="3"/>
  <c r="J248" i="3"/>
  <c r="J243" i="3"/>
  <c r="J146" i="3" l="1"/>
  <c r="O8" i="4"/>
  <c r="O9" i="4"/>
  <c r="O6" i="4"/>
  <c r="O7" i="4"/>
  <c r="J267" i="3"/>
  <c r="J226" i="3"/>
  <c r="J186" i="3"/>
  <c r="J106" i="3"/>
  <c r="J67" i="3"/>
  <c r="J27" i="3"/>
  <c r="D27" i="1"/>
  <c r="D29" i="1" s="1"/>
  <c r="G10" i="1"/>
  <c r="D20" i="3" l="1"/>
  <c r="E17" i="3"/>
  <c r="G9" i="1"/>
  <c r="H9" i="1"/>
  <c r="F9" i="4"/>
  <c r="D18" i="3"/>
  <c r="F8" i="4" s="1"/>
  <c r="E18" i="3"/>
  <c r="E9" i="1" s="1"/>
  <c r="D16" i="3"/>
  <c r="G16" i="3" s="1"/>
  <c r="F6" i="4"/>
  <c r="D9" i="1"/>
  <c r="D38" i="1"/>
  <c r="E19" i="3"/>
  <c r="F9" i="1" s="1"/>
  <c r="H10" i="1"/>
  <c r="E27" i="1"/>
  <c r="E29" i="1" s="1"/>
  <c r="J6" i="4" l="1"/>
  <c r="N6" i="4" s="1"/>
  <c r="H6" i="4"/>
  <c r="C38" i="1"/>
  <c r="C17" i="3"/>
  <c r="C18" i="3" s="1"/>
  <c r="F29" i="1"/>
  <c r="G7" i="4" l="1"/>
  <c r="C7" i="4"/>
  <c r="H7" i="4" s="1"/>
  <c r="G18" i="3"/>
  <c r="E38" i="1" s="1"/>
  <c r="E7" i="4"/>
  <c r="C32" i="1"/>
  <c r="C34" i="1" s="1"/>
  <c r="C41" i="1" s="1"/>
  <c r="H27" i="1"/>
  <c r="H29" i="1" s="1"/>
  <c r="G29" i="1"/>
  <c r="J7" i="4" l="1"/>
  <c r="N7" i="4" s="1"/>
  <c r="D11" i="1"/>
  <c r="I7" i="4"/>
  <c r="D8" i="4" s="1"/>
  <c r="C19" i="3"/>
  <c r="G19" i="3" s="1"/>
  <c r="E8" i="4"/>
  <c r="G8" i="4" s="1"/>
  <c r="G9" i="4" s="1"/>
  <c r="D32" i="1"/>
  <c r="C8" i="4"/>
  <c r="H8" i="4" s="1"/>
  <c r="E32" i="1" l="1"/>
  <c r="C9" i="4"/>
  <c r="H9" i="4" s="1"/>
  <c r="E11" i="1"/>
  <c r="D14" i="1"/>
  <c r="D33" i="1"/>
  <c r="D34" i="1" s="1"/>
  <c r="D41" i="1" s="1"/>
  <c r="C20" i="3"/>
  <c r="G20" i="3" s="1"/>
  <c r="F38" i="1"/>
  <c r="I8" i="4"/>
  <c r="D9" i="4" s="1"/>
  <c r="J8" i="4" l="1"/>
  <c r="N8" i="4" s="1"/>
  <c r="F32" i="1"/>
  <c r="C10" i="4"/>
  <c r="H10" i="4" s="1"/>
  <c r="H11" i="4" s="1"/>
  <c r="D43" i="1"/>
  <c r="E33" i="1"/>
  <c r="E34" i="1" s="1"/>
  <c r="E41" i="1" s="1"/>
  <c r="E14" i="1"/>
  <c r="G38" i="1"/>
  <c r="C12" i="4" l="1"/>
  <c r="H12" i="4" s="1"/>
  <c r="H32" i="1" s="1"/>
  <c r="G32" i="1"/>
  <c r="E9" i="4"/>
  <c r="J9" i="4" s="1"/>
  <c r="N9" i="4" s="1"/>
  <c r="F11" i="1"/>
  <c r="I9" i="4"/>
  <c r="D10" i="4" s="1"/>
  <c r="E43" i="1"/>
  <c r="F14" i="1" l="1"/>
  <c r="F33" i="1"/>
  <c r="E10" i="4"/>
  <c r="F34" i="1" l="1"/>
  <c r="G10" i="4"/>
  <c r="G11" i="1" s="1"/>
  <c r="J10" i="4"/>
  <c r="G33" i="1" l="1"/>
  <c r="G34" i="1" s="1"/>
  <c r="G41" i="1" s="1"/>
  <c r="G14" i="1"/>
  <c r="F41" i="1"/>
  <c r="F43" i="1" s="1"/>
  <c r="N10" i="4"/>
  <c r="I10" i="4"/>
  <c r="G43" i="1" l="1"/>
  <c r="D12" i="4"/>
  <c r="I11" i="4"/>
  <c r="J11" i="4" s="1"/>
  <c r="E12" i="4" l="1"/>
  <c r="N11" i="4"/>
  <c r="G12" i="4" l="1"/>
  <c r="H11" i="1" s="1"/>
  <c r="H33" i="1" s="1"/>
  <c r="H34" i="1" s="1"/>
  <c r="H41" i="1" l="1"/>
  <c r="J12" i="4"/>
  <c r="N12" i="4" s="1"/>
  <c r="P12" i="4" s="1"/>
  <c r="H14" i="1"/>
  <c r="I12" i="4"/>
  <c r="H43" i="1" l="1"/>
</calcChain>
</file>

<file path=xl/sharedStrings.xml><?xml version="1.0" encoding="utf-8"?>
<sst xmlns="http://schemas.openxmlformats.org/spreadsheetml/2006/main" count="433" uniqueCount="127">
  <si>
    <t>Site Improvements incurred as part of development</t>
  </si>
  <si>
    <t>Fencing</t>
  </si>
  <si>
    <t>Item</t>
  </si>
  <si>
    <t>Cost</t>
  </si>
  <si>
    <t>Site buildings</t>
  </si>
  <si>
    <t>Roadway</t>
  </si>
  <si>
    <t>Drainage</t>
  </si>
  <si>
    <t>Weighbridge</t>
  </si>
  <si>
    <t>Life (mths)</t>
  </si>
  <si>
    <t>Future estimate of works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</si>
  <si>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</si>
  <si>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</si>
  <si>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</si>
  <si>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</si>
  <si>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</si>
  <si>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</si>
  <si>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</si>
  <si>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</si>
  <si>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</si>
  <si>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</si>
  <si>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</si>
  <si>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</si>
  <si>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</si>
  <si>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</si>
  <si>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</si>
  <si>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</si>
  <si>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</si>
  <si>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</si>
  <si>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</si>
  <si>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</si>
  <si>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</si>
  <si>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</si>
  <si>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</si>
  <si>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</si>
  <si>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</si>
  <si>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Each cell is expected to take 5 years to fill</t>
  </si>
  <si>
    <t>Background</t>
  </si>
  <si>
    <t>Cost of rehabilitation (in todays value) are $250,000 for capping and site repair for each cell in the year after closure.  Ongoing monitoring and after care of $10,000 per cell annually.</t>
  </si>
  <si>
    <t>Costs are discounted by the longer term government bond rate applicable for the year in which the cash flow will occur</t>
  </si>
  <si>
    <t>Raw cash flow</t>
  </si>
  <si>
    <t>Index - Projected cost increases</t>
  </si>
  <si>
    <t>FV</t>
  </si>
  <si>
    <t>PV</t>
  </si>
  <si>
    <t>Discount factor</t>
  </si>
  <si>
    <t>Indexation factor</t>
  </si>
  <si>
    <t>Cell 2, 3, 4, and 5 do not have EPA approval at this time</t>
  </si>
  <si>
    <t>Cell 1 - Year 1</t>
  </si>
  <si>
    <t>Illustrative Long Term Govt Bond rate</t>
  </si>
  <si>
    <t>Cell 1 - Year 5</t>
  </si>
  <si>
    <t>Present Value Disclosures - 30 June 2015</t>
  </si>
  <si>
    <t>Present Value Disclosures - 30 June 2016</t>
  </si>
  <si>
    <t>Present Value Disclosures - 30 June 2017</t>
  </si>
  <si>
    <t>Present Value Disclosures - 30 June 2018</t>
  </si>
  <si>
    <t>Present Value Disclosures 30 June 2019</t>
  </si>
  <si>
    <t>Present Value Disclosures 30 June 2020</t>
  </si>
  <si>
    <t>Balance date</t>
  </si>
  <si>
    <t>Carrying Value</t>
  </si>
  <si>
    <t>Opening Carrying Value</t>
  </si>
  <si>
    <t>Amortisation</t>
  </si>
  <si>
    <t>Closing Cost/Fair value</t>
  </si>
  <si>
    <t>Closing Amortisation</t>
  </si>
  <si>
    <t>Opening Cost/Fair value</t>
  </si>
  <si>
    <t>Opening Amortisation</t>
  </si>
  <si>
    <t>Cell 1 - Year 0</t>
  </si>
  <si>
    <t>Cell 1 - Year 2 - step one financing cost</t>
  </si>
  <si>
    <t>Cell 1 - Year 3 - step one - financing costs</t>
  </si>
  <si>
    <t>Impairment calculation</t>
  </si>
  <si>
    <t>Index factor</t>
  </si>
  <si>
    <t>Indexed Value</t>
  </si>
  <si>
    <t>Opening Rehabilitation Provision</t>
  </si>
  <si>
    <t>Recognition</t>
  </si>
  <si>
    <t>Finance cost</t>
  </si>
  <si>
    <t>Closing Rehabilitation provision</t>
  </si>
  <si>
    <t>Provision spent</t>
  </si>
  <si>
    <t>Statement of Comprehensive income</t>
  </si>
  <si>
    <t>Depreciation</t>
  </si>
  <si>
    <t>Rehabilitation costs</t>
  </si>
  <si>
    <t>Balance Sheet</t>
  </si>
  <si>
    <t>Intangibles</t>
  </si>
  <si>
    <t>Landfill Airspace</t>
  </si>
  <si>
    <t>Provisions</t>
  </si>
  <si>
    <t>Rehabilitation of landfill sites</t>
  </si>
  <si>
    <t>Site improvements</t>
  </si>
  <si>
    <t>Accumulated Depreciation</t>
  </si>
  <si>
    <t>Accumulated Amortisation</t>
  </si>
  <si>
    <t>Net Assets</t>
  </si>
  <si>
    <t>Imapct on operating result</t>
  </si>
  <si>
    <t>Landfill Fees</t>
  </si>
  <si>
    <t>Property plant and equipment</t>
  </si>
  <si>
    <t>Cash at bank (fees)</t>
  </si>
  <si>
    <t>Check</t>
  </si>
  <si>
    <t>At the end of year 2 the EPA changes it licencing requirements resulting in an increase in the expected rehabilitation requirements to $300,000</t>
  </si>
  <si>
    <t>At the end of year 3 the strong objective evidence exists that the increases in unit costs mean that the best estimate of the cost to remediate has increased to $325,000.</t>
  </si>
  <si>
    <t>Cell 1 - Year 4 - financing</t>
  </si>
  <si>
    <t>Cell 1 - Year 4 - licence changes</t>
  </si>
  <si>
    <t>Year end</t>
  </si>
  <si>
    <t>Maximum Value of Intangible</t>
  </si>
  <si>
    <t>Landfill Airspace - movement Schedule</t>
  </si>
  <si>
    <t>Tipping Fees Nominal amount</t>
  </si>
  <si>
    <t>NPV of future cash flow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</si>
  <si>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</si>
  <si>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</si>
  <si>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</si>
  <si>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</si>
  <si>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</si>
  <si>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</si>
  <si>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</si>
  <si>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</si>
  <si>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</si>
  <si>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</si>
  <si>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Cell 1 has been approved by the EPA and are subject to a known rehabilitation requirement and 30 year aftercare period.</t>
  </si>
  <si>
    <t>Half way through the final year of operation the EPA again changes the rehabilitation requirements, increasing the rehabilitation cost to $425,000</t>
  </si>
  <si>
    <t>Costs are expecetd to increase by 2.0%, which is the best estimate of cost increases based on past experience and future expectations</t>
  </si>
  <si>
    <t>Financing cost</t>
  </si>
  <si>
    <t>Cell 1 - Year 2 - step two - change in EPA Requirements costs</t>
  </si>
  <si>
    <t>Cell Construction</t>
  </si>
  <si>
    <t>Initial Construction of Cell 1</t>
  </si>
  <si>
    <t>Annual Depreciation</t>
  </si>
  <si>
    <t>Total Annual Depreciation</t>
  </si>
  <si>
    <t>(A) Intangible Closing carrying value</t>
  </si>
  <si>
    <t>(B) Landfill Cell Closing Value</t>
  </si>
  <si>
    <t>(C)Site costs (attributed to Cell 1)</t>
  </si>
  <si>
    <t>Total Carrying Value of Cash Generating unit (A+B+C)</t>
  </si>
  <si>
    <t>Maximum Value based on future cash flows</t>
  </si>
  <si>
    <t>Impairment required</t>
  </si>
  <si>
    <t>Impairment adjustment</t>
  </si>
  <si>
    <t>Net property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</si>
</sst>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0" fillId="0" borderId="0" xfId="0" applyAlignment="1">
      <alignment horizontal="center" vertical="top" wrapText="1"/>
    </xf>
    <xf numFmtId="9" fontId="0" fillId="0" borderId="0" xfId="2" applyFont="1"/>
    <xf numFmtId="10" fontId="0" fillId="0" borderId="0" xfId="0" applyNumberFormat="1"/>
    <xf numFmtId="14" fontId="0" fillId="0" borderId="0" xfId="0" applyNumberFormat="1"/>
    <xf numFmtId="10" fontId="0" fillId="0" borderId="0" xfId="2" applyNumberFormat="1" applyFont="1"/>
    <xf numFmtId="44" fontId="0" fillId="0" borderId="0" xfId="0" applyNumberFormat="1"/>
    <xf numFmtId="0" fontId="3" fillId="0" borderId="2" xfId="0" applyFont="1" applyBorder="1"/>
    <xf numFmtId="0" fontId="3" fillId="0" borderId="3" xfId="0" applyFont="1" applyBorder="1"/>
    <xf numFmtId="164" fontId="3" fillId="0" borderId="3" xfId="1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3" fillId="0" borderId="1" xfId="0" applyFont="1" applyBorder="1"/>
    <xf numFmtId="44" fontId="3" fillId="2" borderId="4" xfId="1" applyFont="1" applyFill="1" applyBorder="1" applyAlignment="1">
      <alignment horizontal="center" vertical="top" wrapText="1"/>
    </xf>
    <xf numFmtId="0" fontId="0" fillId="0" borderId="0" xfId="0" applyFill="1"/>
    <xf numFmtId="9" fontId="0" fillId="0" borderId="6" xfId="2" applyFont="1" applyBorder="1"/>
    <xf numFmtId="164" fontId="0" fillId="0" borderId="6" xfId="1" applyNumberFormat="1" applyFont="1" applyBorder="1"/>
    <xf numFmtId="10" fontId="0" fillId="0" borderId="6" xfId="2" applyNumberFormat="1" applyFont="1" applyBorder="1"/>
    <xf numFmtId="0" fontId="0" fillId="0" borderId="7" xfId="0" applyBorder="1"/>
    <xf numFmtId="0" fontId="0" fillId="0" borderId="13" xfId="0" applyBorder="1"/>
    <xf numFmtId="0" fontId="0" fillId="0" borderId="0" xfId="0" applyFill="1" applyBorder="1"/>
    <xf numFmtId="0" fontId="0" fillId="0" borderId="0" xfId="0" applyBorder="1"/>
    <xf numFmtId="9" fontId="0" fillId="0" borderId="0" xfId="2" applyFont="1" applyBorder="1"/>
    <xf numFmtId="164" fontId="0" fillId="0" borderId="0" xfId="1" applyNumberFormat="1" applyFont="1" applyBorder="1"/>
    <xf numFmtId="10" fontId="0" fillId="0" borderId="0" xfId="2" applyNumberFormat="1" applyFont="1" applyBorder="1"/>
    <xf numFmtId="0" fontId="0" fillId="0" borderId="14" xfId="0" applyBorder="1"/>
    <xf numFmtId="8" fontId="0" fillId="0" borderId="0" xfId="0" applyNumberFormat="1" applyBorder="1"/>
    <xf numFmtId="8" fontId="0" fillId="0" borderId="14" xfId="0" applyNumberFormat="1" applyBorder="1"/>
    <xf numFmtId="10" fontId="0" fillId="0" borderId="0" xfId="0" applyNumberFormat="1" applyBorder="1"/>
    <xf numFmtId="9" fontId="0" fillId="0" borderId="9" xfId="2" applyFont="1" applyBorder="1"/>
    <xf numFmtId="10" fontId="0" fillId="0" borderId="9" xfId="0" applyNumberFormat="1" applyBorder="1"/>
    <xf numFmtId="164" fontId="0" fillId="0" borderId="9" xfId="1" applyNumberFormat="1" applyFont="1" applyBorder="1"/>
    <xf numFmtId="10" fontId="0" fillId="0" borderId="9" xfId="2" applyNumberFormat="1" applyFont="1" applyBorder="1"/>
    <xf numFmtId="8" fontId="0" fillId="0" borderId="9" xfId="0" applyNumberFormat="1" applyBorder="1"/>
    <xf numFmtId="8" fontId="0" fillId="0" borderId="10" xfId="0" applyNumberFormat="1" applyBorder="1"/>
    <xf numFmtId="10" fontId="0" fillId="0" borderId="6" xfId="0" applyNumberFormat="1" applyBorder="1"/>
    <xf numFmtId="0" fontId="0" fillId="0" borderId="6" xfId="0" applyFill="1" applyBorder="1"/>
    <xf numFmtId="0" fontId="0" fillId="0" borderId="5" xfId="0" applyFill="1" applyBorder="1"/>
    <xf numFmtId="164" fontId="0" fillId="0" borderId="0" xfId="0" applyNumberFormat="1"/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164" fontId="0" fillId="0" borderId="7" xfId="1" applyNumberFormat="1" applyFont="1" applyBorder="1" applyAlignment="1">
      <alignment horizontal="center" vertical="top" wrapText="1"/>
    </xf>
    <xf numFmtId="14" fontId="0" fillId="0" borderId="13" xfId="0" applyNumberFormat="1" applyBorder="1"/>
    <xf numFmtId="164" fontId="0" fillId="0" borderId="14" xfId="1" applyNumberFormat="1" applyFont="1" applyBorder="1"/>
    <xf numFmtId="14" fontId="0" fillId="0" borderId="8" xfId="0" applyNumberFormat="1" applyBorder="1"/>
    <xf numFmtId="164" fontId="0" fillId="0" borderId="10" xfId="1" applyNumberFormat="1" applyFont="1" applyBorder="1"/>
    <xf numFmtId="164" fontId="0" fillId="0" borderId="15" xfId="1" applyNumberFormat="1" applyFont="1" applyBorder="1"/>
    <xf numFmtId="164" fontId="3" fillId="2" borderId="4" xfId="1" applyNumberFormat="1" applyFont="1" applyFill="1" applyBorder="1" applyAlignment="1">
      <alignment horizontal="center" vertical="top" wrapText="1"/>
    </xf>
    <xf numFmtId="164" fontId="0" fillId="0" borderId="7" xfId="1" applyNumberFormat="1" applyFont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164" fontId="2" fillId="3" borderId="9" xfId="1" applyNumberFormat="1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/>
    </xf>
    <xf numFmtId="0" fontId="3" fillId="0" borderId="11" xfId="0" applyFont="1" applyBorder="1"/>
    <xf numFmtId="0" fontId="3" fillId="0" borderId="5" xfId="0" applyFont="1" applyBorder="1"/>
    <xf numFmtId="0" fontId="3" fillId="0" borderId="6" xfId="0" applyFont="1" applyBorder="1"/>
    <xf numFmtId="164" fontId="3" fillId="0" borderId="6" xfId="1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4" fontId="3" fillId="2" borderId="7" xfId="1" applyFont="1" applyFill="1" applyBorder="1" applyAlignment="1">
      <alignment horizontal="center" vertical="top" wrapText="1"/>
    </xf>
    <xf numFmtId="164" fontId="0" fillId="2" borderId="0" xfId="1" applyNumberFormat="1" applyFont="1" applyFill="1"/>
    <xf numFmtId="9" fontId="3" fillId="0" borderId="0" xfId="0" applyNumberFormat="1" applyFont="1"/>
    <xf numFmtId="9" fontId="0" fillId="0" borderId="0" xfId="2" applyFont="1" applyFill="1" applyBorder="1"/>
    <xf numFmtId="10" fontId="0" fillId="0" borderId="0" xfId="0" applyNumberFormat="1" applyFill="1" applyBorder="1"/>
    <xf numFmtId="164" fontId="0" fillId="0" borderId="0" xfId="1" applyNumberFormat="1" applyFont="1" applyFill="1" applyBorder="1"/>
    <xf numFmtId="10" fontId="0" fillId="0" borderId="0" xfId="2" applyNumberFormat="1" applyFont="1" applyFill="1" applyBorder="1"/>
    <xf numFmtId="8" fontId="0" fillId="0" borderId="0" xfId="0" applyNumberFormat="1" applyFill="1" applyBorder="1"/>
    <xf numFmtId="8" fontId="0" fillId="0" borderId="14" xfId="0" applyNumberFormat="1" applyFill="1" applyBorder="1"/>
    <xf numFmtId="0" fontId="0" fillId="0" borderId="9" xfId="0" applyFill="1" applyBorder="1"/>
    <xf numFmtId="9" fontId="0" fillId="0" borderId="9" xfId="2" applyFont="1" applyFill="1" applyBorder="1"/>
    <xf numFmtId="10" fontId="0" fillId="0" borderId="9" xfId="0" applyNumberFormat="1" applyFill="1" applyBorder="1"/>
    <xf numFmtId="164" fontId="0" fillId="0" borderId="9" xfId="1" applyNumberFormat="1" applyFont="1" applyFill="1" applyBorder="1"/>
    <xf numFmtId="10" fontId="0" fillId="0" borderId="9" xfId="2" applyNumberFormat="1" applyFont="1" applyFill="1" applyBorder="1"/>
    <xf numFmtId="8" fontId="0" fillId="0" borderId="9" xfId="0" applyNumberFormat="1" applyFill="1" applyBorder="1"/>
    <xf numFmtId="8" fontId="0" fillId="0" borderId="10" xfId="0" applyNumberFormat="1" applyFill="1" applyBorder="1"/>
    <xf numFmtId="164" fontId="0" fillId="0" borderId="14" xfId="1" applyNumberFormat="1" applyFont="1" applyFill="1" applyBorder="1"/>
    <xf numFmtId="164" fontId="0" fillId="0" borderId="0" xfId="1" applyNumberFormat="1" applyFont="1" applyFill="1"/>
    <xf numFmtId="164" fontId="0" fillId="0" borderId="0" xfId="0" applyNumberFormat="1" applyFill="1"/>
    <xf numFmtId="164" fontId="0" fillId="0" borderId="15" xfId="1" applyNumberFormat="1" applyFont="1" applyFill="1" applyBorder="1"/>
    <xf numFmtId="0" fontId="2" fillId="4" borderId="0" xfId="0" quotePrefix="1" applyFont="1" applyFill="1" applyAlignment="1">
      <alignment horizontal="center" vertical="top" wrapText="1"/>
    </xf>
    <xf numFmtId="164" fontId="3" fillId="2" borderId="0" xfId="1" applyNumberFormat="1" applyFont="1" applyFill="1"/>
    <xf numFmtId="164" fontId="4" fillId="0" borderId="0" xfId="1" applyNumberFormat="1" applyFont="1"/>
    <xf numFmtId="164" fontId="4" fillId="0" borderId="0" xfId="1" applyNumberFormat="1" applyFont="1" applyFill="1"/>
    <xf numFmtId="164" fontId="4" fillId="0" borderId="0" xfId="0" applyNumberFormat="1" applyFont="1" applyFill="1"/>
    <xf numFmtId="0" fontId="4" fillId="0" borderId="0" xfId="0" applyFont="1"/>
    <xf numFmtId="14" fontId="4" fillId="0" borderId="0" xfId="0" applyNumberFormat="1" applyFont="1" applyFill="1"/>
    <xf numFmtId="0" fontId="4" fillId="0" borderId="0" xfId="0" applyFont="1" applyFill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43"/>
  <sheetViews>
    <sheetView tabSelected="1" workbookViewId="0">
      <selection activeCell="J26" sqref="J26"/>
    </sheetView>
  </sheetViews>
  <sheetFormatPr defaultRowHeight="15" x14ac:dyDescent="0.25"/>
  <cols>
    <col min="2" max="2" width="34.28515625" customWidth="1"/>
    <col min="3" max="7" width="12.5703125" bestFit="1" customWidth="1"/>
    <col min="8" max="8" width="11.5703125" bestFit="1" customWidth="1"/>
    <col min="12" max="12" width="10" bestFit="1" customWidth="1"/>
  </cols>
  <sheetData>
    <row r="3" spans="2:12" x14ac:dyDescent="0.25">
      <c r="C3" s="6">
        <v>42185</v>
      </c>
      <c r="D3" s="6">
        <v>42551</v>
      </c>
      <c r="E3" s="6">
        <v>42916</v>
      </c>
      <c r="F3" s="6">
        <v>43281</v>
      </c>
      <c r="G3" s="6">
        <v>43646</v>
      </c>
      <c r="H3" s="6">
        <v>44012</v>
      </c>
    </row>
    <row r="4" spans="2:12" x14ac:dyDescent="0.25">
      <c r="H4" s="6"/>
    </row>
    <row r="5" spans="2:12" x14ac:dyDescent="0.25">
      <c r="B5" t="s">
        <v>74</v>
      </c>
    </row>
    <row r="7" spans="2:12" s="19" customFormat="1" x14ac:dyDescent="0.25">
      <c r="B7" s="19" t="s">
        <v>87</v>
      </c>
      <c r="C7" s="85">
        <v>0</v>
      </c>
      <c r="D7" s="85">
        <v>215000</v>
      </c>
      <c r="E7" s="85">
        <f>D7*1.02</f>
        <v>219300</v>
      </c>
      <c r="F7" s="85">
        <f t="shared" ref="F7:H7" si="0">E7*1.02</f>
        <v>223686</v>
      </c>
      <c r="G7" s="85">
        <f t="shared" si="0"/>
        <v>228159.72</v>
      </c>
      <c r="H7" s="85">
        <f t="shared" si="0"/>
        <v>232722.91440000001</v>
      </c>
    </row>
    <row r="8" spans="2:12" x14ac:dyDescent="0.25">
      <c r="D8" s="1"/>
      <c r="E8" s="1"/>
      <c r="F8" s="1"/>
      <c r="G8" s="1"/>
      <c r="H8" s="1"/>
    </row>
    <row r="9" spans="2:12" x14ac:dyDescent="0.25">
      <c r="B9" t="s">
        <v>113</v>
      </c>
      <c r="C9" s="1">
        <v>0</v>
      </c>
      <c r="D9" s="1">
        <f>'Rehabilitation Provision'!E17</f>
        <v>6207.7121713004308</v>
      </c>
      <c r="E9" s="1">
        <f>'Rehabilitation Provision'!E18</f>
        <v>4199.9173812817317</v>
      </c>
      <c r="F9" s="1">
        <f>'Rehabilitation Provision'!E19</f>
        <v>4223.0890118440147</v>
      </c>
      <c r="G9" s="1">
        <f>'Rehabilitation Provision'!E20</f>
        <v>1725.9260145052103</v>
      </c>
      <c r="H9" s="1">
        <f>'Rehabilitation Provision'!E21</f>
        <v>1530.6816206679214</v>
      </c>
      <c r="I9" s="1"/>
      <c r="J9" s="1"/>
    </row>
    <row r="10" spans="2:12" x14ac:dyDescent="0.25">
      <c r="B10" t="s">
        <v>75</v>
      </c>
      <c r="C10" s="1">
        <v>0</v>
      </c>
      <c r="D10" s="1">
        <f>'Site improvements &amp; Cell Constr'!C23</f>
        <v>103000</v>
      </c>
      <c r="E10" s="1">
        <f>D10</f>
        <v>103000</v>
      </c>
      <c r="F10" s="1">
        <f t="shared" ref="F10:H10" si="1">E10</f>
        <v>103000</v>
      </c>
      <c r="G10" s="1">
        <f t="shared" si="1"/>
        <v>103000</v>
      </c>
      <c r="H10" s="1">
        <f t="shared" si="1"/>
        <v>103000</v>
      </c>
      <c r="I10" s="1"/>
      <c r="J10" s="1"/>
    </row>
    <row r="11" spans="2:12" x14ac:dyDescent="0.25">
      <c r="B11" t="s">
        <v>58</v>
      </c>
      <c r="C11" s="1">
        <v>0</v>
      </c>
      <c r="D11" s="1">
        <f>'Landfill intangible'!G7</f>
        <v>95504.752881295804</v>
      </c>
      <c r="E11" s="1">
        <f>'Landfill intangible'!G8</f>
        <v>108012.47664968802</v>
      </c>
      <c r="F11" s="1">
        <f>'Landfill intangible'!G9</f>
        <v>108012.47664968802</v>
      </c>
      <c r="G11" s="1">
        <f>'Landfill intangible'!G10</f>
        <v>108012.476649688</v>
      </c>
      <c r="H11" s="1">
        <f>'Landfill intangible'!G12</f>
        <v>109935.75040008861</v>
      </c>
      <c r="I11" s="1"/>
      <c r="J11" s="1"/>
      <c r="L11" s="43"/>
    </row>
    <row r="12" spans="2:12" x14ac:dyDescent="0.25">
      <c r="B12" t="s">
        <v>76</v>
      </c>
      <c r="C12" s="1">
        <v>0</v>
      </c>
      <c r="D12" s="1">
        <v>0</v>
      </c>
      <c r="E12" s="1">
        <v>0</v>
      </c>
      <c r="F12" s="1">
        <v>0</v>
      </c>
      <c r="G12" s="1">
        <f>'Landfill intangible'!P10*-1</f>
        <v>123457.49592126682</v>
      </c>
      <c r="H12" s="85">
        <v>0</v>
      </c>
      <c r="I12" s="1"/>
      <c r="J12" s="1"/>
    </row>
    <row r="13" spans="2:12" x14ac:dyDescent="0.25">
      <c r="C13" s="1"/>
      <c r="D13" s="1"/>
      <c r="E13" s="1"/>
      <c r="F13" s="1"/>
      <c r="G13" s="1"/>
      <c r="H13" s="1"/>
      <c r="I13" s="1"/>
      <c r="J13" s="1"/>
    </row>
    <row r="14" spans="2:12" x14ac:dyDescent="0.25">
      <c r="B14" t="s">
        <v>86</v>
      </c>
      <c r="C14" s="1">
        <f>C7-C9-C10-C11-C12</f>
        <v>0</v>
      </c>
      <c r="D14" s="1">
        <f>D7-D9-D10-D11-D12</f>
        <v>10287.534947403765</v>
      </c>
      <c r="E14" s="1">
        <f t="shared" ref="E14:G14" si="2">E7-E9-E10-E11-E12</f>
        <v>4087.60596903025</v>
      </c>
      <c r="F14" s="1">
        <f t="shared" si="2"/>
        <v>8450.4343384679669</v>
      </c>
      <c r="G14" s="1">
        <f t="shared" si="2"/>
        <v>-108036.17858546003</v>
      </c>
      <c r="H14" s="1">
        <f>H7-H9-H10-H11-H12</f>
        <v>18256.482379243476</v>
      </c>
      <c r="I14" s="1"/>
      <c r="J14" s="1"/>
    </row>
    <row r="15" spans="2:12" x14ac:dyDescent="0.25">
      <c r="C15" s="1"/>
      <c r="D15" s="1"/>
      <c r="E15" s="1"/>
      <c r="F15" s="1"/>
      <c r="G15" s="1"/>
      <c r="H15" s="1"/>
      <c r="I15" s="1"/>
      <c r="J15" s="1"/>
    </row>
    <row r="16" spans="2:12" x14ac:dyDescent="0.25">
      <c r="C16" s="1"/>
      <c r="D16" s="1"/>
      <c r="E16" s="1"/>
      <c r="F16" s="1"/>
      <c r="G16" s="1"/>
      <c r="H16" s="1"/>
      <c r="I16" s="1"/>
      <c r="J16" s="1"/>
    </row>
    <row r="17" spans="2:10" x14ac:dyDescent="0.25">
      <c r="B17" t="s">
        <v>77</v>
      </c>
      <c r="C17" s="1"/>
      <c r="D17" s="1"/>
      <c r="E17" s="1"/>
      <c r="F17" s="1"/>
      <c r="G17" s="1"/>
      <c r="H17" s="1"/>
      <c r="I17" s="1"/>
      <c r="J17" s="1"/>
    </row>
    <row r="18" spans="2:10" x14ac:dyDescent="0.25">
      <c r="C18" s="1"/>
      <c r="D18" s="1"/>
      <c r="E18" s="1"/>
      <c r="F18" s="1"/>
      <c r="G18" s="1"/>
      <c r="H18" s="1"/>
      <c r="I18" s="1"/>
      <c r="J18" s="1"/>
    </row>
    <row r="19" spans="2:10" x14ac:dyDescent="0.25">
      <c r="B19" t="s">
        <v>89</v>
      </c>
      <c r="C19" s="1">
        <f>C7</f>
        <v>0</v>
      </c>
      <c r="D19" s="1">
        <f>D7+C19</f>
        <v>215000</v>
      </c>
      <c r="E19" s="1">
        <f t="shared" ref="E19:G19" si="3">E7+D19</f>
        <v>434300</v>
      </c>
      <c r="F19" s="1">
        <f t="shared" si="3"/>
        <v>657986</v>
      </c>
      <c r="G19" s="1">
        <f t="shared" si="3"/>
        <v>886145.72</v>
      </c>
      <c r="H19" s="1">
        <f>H7+G19-'Rehabilitation Provision'!F21</f>
        <v>692573.89439999987</v>
      </c>
      <c r="I19" s="1"/>
      <c r="J19" s="1"/>
    </row>
    <row r="20" spans="2:10" x14ac:dyDescent="0.25">
      <c r="C20" s="1"/>
      <c r="D20" s="1"/>
      <c r="E20" s="1"/>
      <c r="F20" s="1"/>
      <c r="G20" s="1"/>
      <c r="H20" s="1"/>
      <c r="I20" s="1"/>
      <c r="J20" s="1"/>
    </row>
    <row r="21" spans="2:10" x14ac:dyDescent="0.25">
      <c r="B21" t="s">
        <v>88</v>
      </c>
      <c r="C21" s="1"/>
      <c r="D21" s="1"/>
      <c r="E21" s="1"/>
      <c r="F21" s="1"/>
      <c r="G21" s="1"/>
      <c r="H21" s="1"/>
      <c r="I21" s="1"/>
      <c r="J21" s="1"/>
    </row>
    <row r="22" spans="2:10" x14ac:dyDescent="0.25">
      <c r="B22" s="19" t="s">
        <v>115</v>
      </c>
      <c r="C22" s="85">
        <v>300000</v>
      </c>
      <c r="D22" s="85">
        <v>300000</v>
      </c>
      <c r="E22" s="85">
        <v>300000</v>
      </c>
      <c r="F22" s="85">
        <v>300000</v>
      </c>
      <c r="G22" s="85">
        <v>300000</v>
      </c>
      <c r="H22" s="85">
        <v>300000</v>
      </c>
      <c r="I22" s="1"/>
      <c r="J22" s="1"/>
    </row>
    <row r="23" spans="2:10" x14ac:dyDescent="0.25">
      <c r="B23" s="19" t="s">
        <v>83</v>
      </c>
      <c r="C23" s="87">
        <v>0</v>
      </c>
      <c r="D23" s="87">
        <f>'Site improvements &amp; Cell Constr'!C21</f>
        <v>60000</v>
      </c>
      <c r="E23" s="87">
        <f>'Site improvements &amp; Cell Constr'!$C$21+D23</f>
        <v>120000</v>
      </c>
      <c r="F23" s="87">
        <f>'Site improvements &amp; Cell Constr'!$C$21+E23</f>
        <v>180000</v>
      </c>
      <c r="G23" s="87">
        <f>'Site improvements &amp; Cell Constr'!$C$21+F23</f>
        <v>240000</v>
      </c>
      <c r="H23" s="87">
        <f>'Site improvements &amp; Cell Constr'!$C$21+G23</f>
        <v>300000</v>
      </c>
      <c r="I23" s="1"/>
      <c r="J23" s="1"/>
    </row>
    <row r="24" spans="2:10" x14ac:dyDescent="0.25">
      <c r="B24" s="19"/>
      <c r="C24" s="85">
        <f>C22-C23</f>
        <v>300000</v>
      </c>
      <c r="D24" s="85">
        <f t="shared" ref="D24:H24" si="4">D22-D23</f>
        <v>240000</v>
      </c>
      <c r="E24" s="85">
        <f t="shared" si="4"/>
        <v>180000</v>
      </c>
      <c r="F24" s="85">
        <f t="shared" si="4"/>
        <v>120000</v>
      </c>
      <c r="G24" s="85">
        <f t="shared" si="4"/>
        <v>60000</v>
      </c>
      <c r="H24" s="85">
        <f t="shared" si="4"/>
        <v>0</v>
      </c>
      <c r="I24" s="1"/>
      <c r="J24" s="1"/>
    </row>
    <row r="25" spans="2:10" x14ac:dyDescent="0.25">
      <c r="B25" t="s">
        <v>82</v>
      </c>
      <c r="C25" s="1">
        <f>'Site improvements &amp; Cell Constr'!C13</f>
        <v>430000</v>
      </c>
      <c r="D25" s="1">
        <f>C25</f>
        <v>430000</v>
      </c>
      <c r="E25" s="1">
        <f t="shared" ref="E25:H25" si="5">D25</f>
        <v>430000</v>
      </c>
      <c r="F25" s="1">
        <f t="shared" si="5"/>
        <v>430000</v>
      </c>
      <c r="G25" s="1">
        <f t="shared" si="5"/>
        <v>430000</v>
      </c>
      <c r="H25" s="1">
        <f t="shared" si="5"/>
        <v>430000</v>
      </c>
      <c r="I25" s="1"/>
      <c r="J25" s="1"/>
    </row>
    <row r="26" spans="2:10" x14ac:dyDescent="0.25">
      <c r="B26" t="s">
        <v>83</v>
      </c>
      <c r="C26" s="51">
        <v>0</v>
      </c>
      <c r="D26" s="51">
        <f>'Site improvements &amp; Cell Constr'!C15</f>
        <v>43000</v>
      </c>
      <c r="E26" s="51">
        <f>'Site improvements &amp; Cell Constr'!$C$15+'P&amp;l and Balance Sheet'!D26</f>
        <v>86000</v>
      </c>
      <c r="F26" s="51">
        <f>'Site improvements &amp; Cell Constr'!$C$15+'P&amp;l and Balance Sheet'!E26</f>
        <v>129000</v>
      </c>
      <c r="G26" s="51">
        <f>'Site improvements &amp; Cell Constr'!$C$15+'P&amp;l and Balance Sheet'!F26</f>
        <v>172000</v>
      </c>
      <c r="H26" s="51">
        <f>'Site improvements &amp; Cell Constr'!$C$15+'P&amp;l and Balance Sheet'!G26</f>
        <v>215000</v>
      </c>
      <c r="I26" s="1"/>
      <c r="J26" s="1"/>
    </row>
    <row r="27" spans="2:10" x14ac:dyDescent="0.25">
      <c r="B27" t="s">
        <v>56</v>
      </c>
      <c r="C27" s="1">
        <f t="shared" ref="C27:H27" si="6">C25-C26</f>
        <v>430000</v>
      </c>
      <c r="D27" s="1">
        <f t="shared" si="6"/>
        <v>387000</v>
      </c>
      <c r="E27" s="1">
        <f t="shared" si="6"/>
        <v>344000</v>
      </c>
      <c r="F27" s="1">
        <f>F25-F26</f>
        <v>301000</v>
      </c>
      <c r="G27" s="1">
        <f>G25-G26</f>
        <v>258000</v>
      </c>
      <c r="H27" s="1">
        <f t="shared" si="6"/>
        <v>215000</v>
      </c>
      <c r="I27" s="1"/>
      <c r="J27" s="1"/>
    </row>
    <row r="28" spans="2:10" x14ac:dyDescent="0.25">
      <c r="C28" s="1"/>
      <c r="D28" s="1"/>
      <c r="E28" s="1"/>
      <c r="F28" s="1"/>
      <c r="G28" s="1"/>
      <c r="H28" s="1"/>
      <c r="I28" s="1"/>
      <c r="J28" s="1"/>
    </row>
    <row r="29" spans="2:10" x14ac:dyDescent="0.25">
      <c r="B29" t="s">
        <v>126</v>
      </c>
      <c r="C29" s="1">
        <f>C24+C27</f>
        <v>730000</v>
      </c>
      <c r="D29" s="1">
        <f t="shared" ref="D29:H29" si="7">D24+D27</f>
        <v>627000</v>
      </c>
      <c r="E29" s="1">
        <f t="shared" si="7"/>
        <v>524000</v>
      </c>
      <c r="F29" s="1">
        <f t="shared" si="7"/>
        <v>421000</v>
      </c>
      <c r="G29" s="1">
        <f t="shared" si="7"/>
        <v>318000</v>
      </c>
      <c r="H29" s="1">
        <f t="shared" si="7"/>
        <v>215000</v>
      </c>
      <c r="I29" s="1"/>
      <c r="J29" s="1"/>
    </row>
    <row r="30" spans="2:10" x14ac:dyDescent="0.25">
      <c r="C30" s="1"/>
      <c r="D30" s="1"/>
      <c r="E30" s="1"/>
      <c r="F30" s="1"/>
      <c r="G30" s="1"/>
      <c r="H30" s="1"/>
      <c r="I30" s="1"/>
      <c r="J30" s="1"/>
    </row>
    <row r="31" spans="2:10" x14ac:dyDescent="0.25">
      <c r="B31" t="s">
        <v>78</v>
      </c>
      <c r="C31" s="1"/>
      <c r="D31" s="1"/>
      <c r="E31" s="1"/>
      <c r="F31" s="1"/>
      <c r="G31" s="1"/>
      <c r="H31" s="1"/>
      <c r="I31" s="1"/>
      <c r="J31" s="1"/>
    </row>
    <row r="32" spans="2:10" x14ac:dyDescent="0.25">
      <c r="B32" t="s">
        <v>79</v>
      </c>
      <c r="C32" s="1">
        <f>'Landfill intangible'!J6</f>
        <v>477523.76440647896</v>
      </c>
      <c r="D32" s="1">
        <f>'Landfill intangible'!H7</f>
        <v>477523.76440647896</v>
      </c>
      <c r="E32" s="1">
        <f>'Landfill intangible'!H8</f>
        <v>527554.65948004788</v>
      </c>
      <c r="F32" s="1">
        <f>'Landfill intangible'!H9</f>
        <v>527554.65948004788</v>
      </c>
      <c r="G32" s="1">
        <f>'Landfill intangible'!H11</f>
        <v>529477.93323044851</v>
      </c>
      <c r="H32" s="1">
        <f>'Landfill intangible'!H12</f>
        <v>529477.93323044851</v>
      </c>
      <c r="I32" s="1"/>
      <c r="J32" s="1"/>
    </row>
    <row r="33" spans="2:10" x14ac:dyDescent="0.25">
      <c r="B33" t="s">
        <v>84</v>
      </c>
      <c r="C33" s="51">
        <v>0</v>
      </c>
      <c r="D33" s="51">
        <f>D11</f>
        <v>95504.752881295804</v>
      </c>
      <c r="E33" s="51">
        <f>E11+D33</f>
        <v>203517.22953098384</v>
      </c>
      <c r="F33" s="51">
        <f>F11+E33</f>
        <v>311529.70618067187</v>
      </c>
      <c r="G33" s="51">
        <f>G11+F33</f>
        <v>419542.1828303599</v>
      </c>
      <c r="H33" s="51">
        <f>H11+G33</f>
        <v>529477.93323044851</v>
      </c>
      <c r="I33" s="1"/>
      <c r="J33" s="1"/>
    </row>
    <row r="34" spans="2:10" x14ac:dyDescent="0.25">
      <c r="B34" t="s">
        <v>56</v>
      </c>
      <c r="C34" s="1">
        <f>C32-C33</f>
        <v>477523.76440647896</v>
      </c>
      <c r="D34" s="1">
        <f t="shared" ref="D34:H34" si="8">D32-D33</f>
        <v>382019.01152518316</v>
      </c>
      <c r="E34" s="1">
        <f t="shared" si="8"/>
        <v>324037.42994906404</v>
      </c>
      <c r="F34" s="1">
        <f t="shared" si="8"/>
        <v>216024.95329937601</v>
      </c>
      <c r="G34" s="1">
        <f t="shared" si="8"/>
        <v>109935.75040008861</v>
      </c>
      <c r="H34" s="1">
        <f t="shared" si="8"/>
        <v>0</v>
      </c>
      <c r="I34" s="1"/>
      <c r="J34" s="1"/>
    </row>
    <row r="35" spans="2:10" x14ac:dyDescent="0.25">
      <c r="C35" s="1"/>
      <c r="D35" s="1"/>
      <c r="E35" s="1"/>
      <c r="F35" s="1"/>
      <c r="G35" s="1"/>
      <c r="H35" s="1"/>
      <c r="I35" s="1"/>
      <c r="J35" s="1"/>
    </row>
    <row r="36" spans="2:10" x14ac:dyDescent="0.25"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t="s">
        <v>80</v>
      </c>
      <c r="C37" s="1"/>
      <c r="D37" s="1"/>
      <c r="E37" s="1"/>
      <c r="F37" s="1"/>
      <c r="G37" s="1"/>
      <c r="H37" s="1"/>
      <c r="I37" s="1"/>
      <c r="J37" s="1"/>
    </row>
    <row r="38" spans="2:10" x14ac:dyDescent="0.25">
      <c r="B38" t="s">
        <v>81</v>
      </c>
      <c r="C38" s="1">
        <f>'Rehabilitation Provision'!G16</f>
        <v>477523.76440647896</v>
      </c>
      <c r="D38" s="1">
        <f>'Rehabilitation Provision'!J67</f>
        <v>483731.47657777939</v>
      </c>
      <c r="E38" s="1">
        <f>'Rehabilitation Provision'!G18</f>
        <v>537962.28903263004</v>
      </c>
      <c r="F38" s="1">
        <f>'Rehabilitation Provision'!G19</f>
        <v>542185.37804447406</v>
      </c>
      <c r="G38" s="1">
        <f>'Rehabilitation Provision'!G20</f>
        <v>669292.07373064675</v>
      </c>
      <c r="H38" s="1">
        <f>'Rehabilitation Provision'!G21</f>
        <v>244528.01535131468</v>
      </c>
      <c r="I38" s="1"/>
      <c r="J38" s="1"/>
    </row>
    <row r="39" spans="2:10" x14ac:dyDescent="0.25">
      <c r="D39" s="1"/>
      <c r="E39" s="1"/>
      <c r="F39" s="1"/>
      <c r="G39" s="1"/>
      <c r="H39" s="1"/>
    </row>
    <row r="40" spans="2:10" x14ac:dyDescent="0.25">
      <c r="D40" s="1"/>
      <c r="E40" s="1"/>
      <c r="F40" s="1"/>
      <c r="G40" s="1"/>
      <c r="H40" s="1"/>
    </row>
    <row r="41" spans="2:10" x14ac:dyDescent="0.25">
      <c r="B41" t="s">
        <v>85</v>
      </c>
      <c r="C41" s="43">
        <f>C29+C34-C38+C19</f>
        <v>730000</v>
      </c>
      <c r="D41" s="43">
        <f>D29+D34-D38+D19</f>
        <v>740287.53494740382</v>
      </c>
      <c r="E41" s="43">
        <f t="shared" ref="E41:H41" si="9">E29+E34-E38+E19</f>
        <v>744375.140916434</v>
      </c>
      <c r="F41" s="43">
        <f t="shared" si="9"/>
        <v>752825.57525490189</v>
      </c>
      <c r="G41" s="43">
        <f>G29+G34-G38+G19</f>
        <v>644789.39666944183</v>
      </c>
      <c r="H41" s="43">
        <f t="shared" si="9"/>
        <v>663045.87904868519</v>
      </c>
    </row>
    <row r="43" spans="2:10" x14ac:dyDescent="0.25">
      <c r="B43" t="s">
        <v>90</v>
      </c>
      <c r="D43" s="43">
        <f>C41+D14-D41</f>
        <v>0</v>
      </c>
      <c r="E43" s="43">
        <f>D41+E14-E41</f>
        <v>0</v>
      </c>
      <c r="F43" s="43">
        <f>E41+F14-F41</f>
        <v>0</v>
      </c>
      <c r="G43" s="43">
        <f>F41+G14-G41</f>
        <v>0</v>
      </c>
      <c r="H43" s="43">
        <f>G41+H14-H41</f>
        <v>0</v>
      </c>
    </row>
  </sheetData>
  <pageMargins left="0.25" right="0.25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3"/>
  <sheetViews>
    <sheetView tabSelected="1" workbookViewId="0">
      <selection activeCell="J26" sqref="J26"/>
    </sheetView>
  </sheetViews>
  <sheetFormatPr defaultRowHeight="15" x14ac:dyDescent="0.25"/>
  <cols>
    <col min="2" max="2" width="28.5703125" customWidth="1"/>
    <col min="3" max="3" width="12.5703125" style="1" bestFit="1" customWidth="1"/>
  </cols>
  <sheetData>
    <row r="3" spans="2:4" x14ac:dyDescent="0.25">
      <c r="B3" s="2" t="s">
        <v>0</v>
      </c>
    </row>
    <row r="5" spans="2:4" x14ac:dyDescent="0.25">
      <c r="B5" t="s">
        <v>2</v>
      </c>
      <c r="C5" s="1" t="s">
        <v>3</v>
      </c>
      <c r="D5" t="s">
        <v>8</v>
      </c>
    </row>
    <row r="7" spans="2:4" x14ac:dyDescent="0.25">
      <c r="B7" t="s">
        <v>1</v>
      </c>
      <c r="C7" s="1">
        <v>200000</v>
      </c>
      <c r="D7">
        <v>120</v>
      </c>
    </row>
    <row r="8" spans="2:4" x14ac:dyDescent="0.25">
      <c r="B8" t="s">
        <v>4</v>
      </c>
      <c r="C8" s="1">
        <v>60000</v>
      </c>
      <c r="D8">
        <v>120</v>
      </c>
    </row>
    <row r="9" spans="2:4" x14ac:dyDescent="0.25">
      <c r="B9" t="s">
        <v>5</v>
      </c>
      <c r="C9" s="1">
        <v>85000</v>
      </c>
      <c r="D9">
        <v>120</v>
      </c>
    </row>
    <row r="10" spans="2:4" x14ac:dyDescent="0.25">
      <c r="B10" t="s">
        <v>6</v>
      </c>
      <c r="C10" s="1">
        <v>25000</v>
      </c>
      <c r="D10">
        <v>120</v>
      </c>
    </row>
    <row r="11" spans="2:4" x14ac:dyDescent="0.25">
      <c r="B11" t="s">
        <v>7</v>
      </c>
      <c r="C11" s="1">
        <v>60000</v>
      </c>
      <c r="D11">
        <v>120</v>
      </c>
    </row>
    <row r="13" spans="2:4" x14ac:dyDescent="0.25">
      <c r="C13" s="1">
        <f>SUM(C7:C12)</f>
        <v>430000</v>
      </c>
    </row>
    <row r="15" spans="2:4" x14ac:dyDescent="0.25">
      <c r="B15" t="s">
        <v>117</v>
      </c>
      <c r="C15" s="1">
        <f>C13/10</f>
        <v>43000</v>
      </c>
    </row>
    <row r="17" spans="2:4" x14ac:dyDescent="0.25">
      <c r="B17" s="2" t="s">
        <v>115</v>
      </c>
      <c r="C17" s="1" t="s">
        <v>3</v>
      </c>
      <c r="D17" t="s">
        <v>8</v>
      </c>
    </row>
    <row r="19" spans="2:4" x14ac:dyDescent="0.25">
      <c r="B19" t="s">
        <v>116</v>
      </c>
      <c r="C19" s="1">
        <v>300000</v>
      </c>
      <c r="D19">
        <v>60</v>
      </c>
    </row>
    <row r="21" spans="2:4" x14ac:dyDescent="0.25">
      <c r="B21" t="s">
        <v>117</v>
      </c>
      <c r="C21" s="1">
        <f>C19/5</f>
        <v>60000</v>
      </c>
    </row>
    <row r="23" spans="2:4" x14ac:dyDescent="0.25">
      <c r="B23" t="s">
        <v>118</v>
      </c>
      <c r="C23" s="1">
        <f>C15+C21</f>
        <v>103000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41"/>
  <sheetViews>
    <sheetView tabSelected="1" topLeftCell="A177" workbookViewId="0">
      <selection activeCell="J26" sqref="J26"/>
    </sheetView>
  </sheetViews>
  <sheetFormatPr defaultRowHeight="15" x14ac:dyDescent="0.25"/>
  <cols>
    <col min="2" max="2" width="13.28515625" customWidth="1"/>
    <col min="3" max="3" width="13.42578125" customWidth="1"/>
    <col min="4" max="5" width="13.28515625" customWidth="1"/>
    <col min="6" max="7" width="13.28515625" style="1" customWidth="1"/>
    <col min="8" max="8" width="13.5703125" bestFit="1" customWidth="1"/>
    <col min="9" max="10" width="13.5703125" customWidth="1"/>
    <col min="12" max="12" width="12.5703125" bestFit="1" customWidth="1"/>
    <col min="14" max="14" width="10.5703125" bestFit="1" customWidth="1"/>
  </cols>
  <sheetData>
    <row r="2" spans="2:12" x14ac:dyDescent="0.25">
      <c r="B2" s="2" t="s">
        <v>9</v>
      </c>
      <c r="C2" s="2"/>
      <c r="D2" s="2"/>
      <c r="E2" s="2"/>
    </row>
    <row r="4" spans="2:12" x14ac:dyDescent="0.25">
      <c r="B4" s="2" t="s">
        <v>36</v>
      </c>
      <c r="C4" s="2"/>
      <c r="D4" s="2"/>
      <c r="E4" s="2"/>
    </row>
    <row r="5" spans="2:12" x14ac:dyDescent="0.25">
      <c r="B5" t="s">
        <v>35</v>
      </c>
    </row>
    <row r="6" spans="2:12" x14ac:dyDescent="0.25">
      <c r="B6" t="s">
        <v>110</v>
      </c>
    </row>
    <row r="7" spans="2:12" x14ac:dyDescent="0.25">
      <c r="B7" t="s">
        <v>37</v>
      </c>
    </row>
    <row r="8" spans="2:12" x14ac:dyDescent="0.25">
      <c r="B8" t="s">
        <v>91</v>
      </c>
    </row>
    <row r="9" spans="2:12" x14ac:dyDescent="0.25">
      <c r="B9" t="s">
        <v>92</v>
      </c>
    </row>
    <row r="10" spans="2:12" x14ac:dyDescent="0.25">
      <c r="B10" t="s">
        <v>111</v>
      </c>
    </row>
    <row r="11" spans="2:12" x14ac:dyDescent="0.25">
      <c r="B11" t="s">
        <v>45</v>
      </c>
    </row>
    <row r="12" spans="2:12" x14ac:dyDescent="0.25">
      <c r="B12" t="s">
        <v>112</v>
      </c>
    </row>
    <row r="13" spans="2:12" x14ac:dyDescent="0.25">
      <c r="B13" t="s">
        <v>38</v>
      </c>
    </row>
    <row r="14" spans="2:12" ht="15.75" thickBot="1" x14ac:dyDescent="0.3"/>
    <row r="15" spans="2:12" ht="45" x14ac:dyDescent="0.25">
      <c r="B15" s="44" t="s">
        <v>55</v>
      </c>
      <c r="C15" s="45" t="s">
        <v>69</v>
      </c>
      <c r="D15" s="45" t="s">
        <v>70</v>
      </c>
      <c r="E15" s="45" t="s">
        <v>71</v>
      </c>
      <c r="F15" s="45" t="s">
        <v>73</v>
      </c>
      <c r="G15" s="46" t="s">
        <v>72</v>
      </c>
      <c r="H15" s="3"/>
      <c r="I15" s="3"/>
      <c r="J15" s="3"/>
      <c r="K15" s="3"/>
      <c r="L15" s="3"/>
    </row>
    <row r="16" spans="2:12" x14ac:dyDescent="0.25">
      <c r="B16" s="47">
        <v>42185</v>
      </c>
      <c r="C16" s="28">
        <v>0</v>
      </c>
      <c r="D16" s="28">
        <f>J27</f>
        <v>477523.76440647896</v>
      </c>
      <c r="E16" s="28">
        <v>0</v>
      </c>
      <c r="F16" s="28"/>
      <c r="G16" s="48">
        <f>D16</f>
        <v>477523.76440647896</v>
      </c>
    </row>
    <row r="17" spans="1:15" x14ac:dyDescent="0.25">
      <c r="B17" s="47">
        <v>42551</v>
      </c>
      <c r="C17" s="73">
        <f>G16</f>
        <v>477523.76440647896</v>
      </c>
      <c r="D17" s="73">
        <v>0</v>
      </c>
      <c r="E17" s="73">
        <f>J67-J27</f>
        <v>6207.7121713004308</v>
      </c>
      <c r="F17" s="73"/>
      <c r="G17" s="84">
        <f>C17+D17+E17-F17</f>
        <v>483731.47657777939</v>
      </c>
    </row>
    <row r="18" spans="1:15" x14ac:dyDescent="0.25">
      <c r="B18" s="47">
        <v>42916</v>
      </c>
      <c r="C18" s="73">
        <f>G17</f>
        <v>483731.47657777939</v>
      </c>
      <c r="D18" s="73">
        <f>J146-J106</f>
        <v>50030.895073568914</v>
      </c>
      <c r="E18" s="73">
        <f>J106-J67</f>
        <v>4199.9173812817317</v>
      </c>
      <c r="F18" s="73"/>
      <c r="G18" s="84">
        <f t="shared" ref="G18:G20" si="0">C18+D18+E18-F18</f>
        <v>537962.28903263004</v>
      </c>
    </row>
    <row r="19" spans="1:15" x14ac:dyDescent="0.25">
      <c r="B19" s="47">
        <v>43281</v>
      </c>
      <c r="C19" s="73">
        <f>G18</f>
        <v>537962.28903263004</v>
      </c>
      <c r="D19" s="73">
        <v>0</v>
      </c>
      <c r="E19" s="73">
        <f>J186-J146</f>
        <v>4223.0890118440147</v>
      </c>
      <c r="F19" s="73"/>
      <c r="G19" s="84">
        <f t="shared" si="0"/>
        <v>542185.37804447406</v>
      </c>
    </row>
    <row r="20" spans="1:15" x14ac:dyDescent="0.25">
      <c r="B20" s="47">
        <v>43646</v>
      </c>
      <c r="C20" s="73">
        <f t="shared" ref="C20" si="1">G19</f>
        <v>542185.37804447406</v>
      </c>
      <c r="D20" s="73">
        <f>J267-J226</f>
        <v>125380.76967166748</v>
      </c>
      <c r="E20" s="73">
        <f>J226-J186</f>
        <v>1725.9260145052103</v>
      </c>
      <c r="F20" s="73"/>
      <c r="G20" s="84">
        <f t="shared" si="0"/>
        <v>669292.07373064675</v>
      </c>
    </row>
    <row r="21" spans="1:15" ht="15.75" thickBot="1" x14ac:dyDescent="0.3">
      <c r="B21" s="49">
        <v>44012</v>
      </c>
      <c r="C21" s="36">
        <f>G20</f>
        <v>669292.07373064675</v>
      </c>
      <c r="D21" s="36"/>
      <c r="E21" s="36">
        <f>J306-J267+426295</f>
        <v>1530.6816206679214</v>
      </c>
      <c r="F21" s="36">
        <v>426294.74</v>
      </c>
      <c r="G21" s="50">
        <f>C21+D21+E21-F21</f>
        <v>244528.01535131468</v>
      </c>
    </row>
    <row r="24" spans="1:15" ht="15.75" thickBot="1" x14ac:dyDescent="0.3"/>
    <row r="25" spans="1:15" x14ac:dyDescent="0.25">
      <c r="A25" s="54"/>
      <c r="B25" s="96" t="s">
        <v>63</v>
      </c>
      <c r="C25" s="97"/>
      <c r="D25" s="97"/>
      <c r="E25" s="97"/>
      <c r="F25" s="97"/>
      <c r="G25" s="97"/>
      <c r="H25" s="97"/>
      <c r="I25" s="97"/>
      <c r="J25" s="98"/>
    </row>
    <row r="26" spans="1:15" ht="60.75" thickBot="1" x14ac:dyDescent="0.3">
      <c r="A26" s="55"/>
      <c r="B26" s="56"/>
      <c r="C26" s="57"/>
      <c r="D26" s="58" t="s">
        <v>40</v>
      </c>
      <c r="E26" s="58" t="s">
        <v>47</v>
      </c>
      <c r="F26" s="58" t="s">
        <v>39</v>
      </c>
      <c r="G26" s="58" t="s">
        <v>44</v>
      </c>
      <c r="H26" s="59" t="s">
        <v>41</v>
      </c>
      <c r="I26" s="59" t="s">
        <v>43</v>
      </c>
      <c r="J26" s="60" t="s">
        <v>42</v>
      </c>
    </row>
    <row r="27" spans="1:15" s="2" customFormat="1" ht="15.75" thickBot="1" x14ac:dyDescent="0.3">
      <c r="A27" s="17"/>
      <c r="B27" s="9" t="s">
        <v>49</v>
      </c>
      <c r="C27" s="10"/>
      <c r="D27" s="11"/>
      <c r="E27" s="11"/>
      <c r="F27" s="11"/>
      <c r="G27" s="11"/>
      <c r="H27" s="11"/>
      <c r="I27" s="12"/>
      <c r="J27" s="52">
        <f>SUM(J28:J62)</f>
        <v>477523.76440647896</v>
      </c>
      <c r="N27" s="70"/>
    </row>
    <row r="28" spans="1:15" x14ac:dyDescent="0.25">
      <c r="A28" s="42">
        <v>2016</v>
      </c>
      <c r="B28" s="14" t="s">
        <v>10</v>
      </c>
      <c r="C28" s="14">
        <v>1</v>
      </c>
      <c r="D28" s="20">
        <v>0.02</v>
      </c>
      <c r="E28" s="40">
        <v>1.8450000000000001E-2</v>
      </c>
      <c r="F28" s="21">
        <v>0</v>
      </c>
      <c r="G28" s="22">
        <f t="shared" ref="G28:G32" si="2">(1+D28)^C28</f>
        <v>1.02</v>
      </c>
      <c r="H28" s="21"/>
      <c r="I28" s="22">
        <f t="shared" ref="I28:I32" si="3">(1+E28)^C28</f>
        <v>1.0184500000000001</v>
      </c>
      <c r="J28" s="53"/>
      <c r="N28" s="7"/>
      <c r="O28" s="5"/>
    </row>
    <row r="29" spans="1:15" x14ac:dyDescent="0.25">
      <c r="A29" s="24">
        <v>2017</v>
      </c>
      <c r="B29" s="26" t="s">
        <v>11</v>
      </c>
      <c r="C29" s="26">
        <v>2</v>
      </c>
      <c r="D29" s="27">
        <v>0.02</v>
      </c>
      <c r="E29" s="33">
        <v>1.9199999999999998E-2</v>
      </c>
      <c r="F29" s="28">
        <v>0</v>
      </c>
      <c r="G29" s="29">
        <f t="shared" si="2"/>
        <v>1.0404</v>
      </c>
      <c r="H29" s="28"/>
      <c r="I29" s="29">
        <f t="shared" si="3"/>
        <v>1.0387686400000002</v>
      </c>
      <c r="J29" s="48"/>
      <c r="N29" s="7"/>
      <c r="O29" s="5"/>
    </row>
    <row r="30" spans="1:15" x14ac:dyDescent="0.25">
      <c r="A30" s="24">
        <v>2018</v>
      </c>
      <c r="B30" s="26" t="s">
        <v>12</v>
      </c>
      <c r="C30" s="26">
        <v>3</v>
      </c>
      <c r="D30" s="27">
        <v>0.02</v>
      </c>
      <c r="E30" s="33">
        <v>1.9789999999999999E-2</v>
      </c>
      <c r="F30" s="28">
        <v>0</v>
      </c>
      <c r="G30" s="29">
        <f t="shared" si="2"/>
        <v>1.0612079999999999</v>
      </c>
      <c r="H30" s="28"/>
      <c r="I30" s="29">
        <f t="shared" si="3"/>
        <v>1.0605526829367389</v>
      </c>
      <c r="J30" s="48"/>
      <c r="N30" s="7"/>
      <c r="O30" s="5"/>
    </row>
    <row r="31" spans="1:15" x14ac:dyDescent="0.25">
      <c r="A31" s="24">
        <v>2019</v>
      </c>
      <c r="B31" s="26" t="s">
        <v>13</v>
      </c>
      <c r="C31" s="26">
        <v>4</v>
      </c>
      <c r="D31" s="27">
        <v>0.02</v>
      </c>
      <c r="E31" s="33">
        <v>2.0119999999999999E-2</v>
      </c>
      <c r="F31" s="28">
        <v>0</v>
      </c>
      <c r="G31" s="29">
        <f t="shared" si="2"/>
        <v>1.08243216</v>
      </c>
      <c r="H31" s="28"/>
      <c r="I31" s="29">
        <f t="shared" si="3"/>
        <v>1.08294162973761</v>
      </c>
      <c r="J31" s="48"/>
      <c r="N31" s="7"/>
      <c r="O31" s="5"/>
    </row>
    <row r="32" spans="1:15" x14ac:dyDescent="0.25">
      <c r="A32" s="24">
        <v>2020</v>
      </c>
      <c r="B32" s="26" t="s">
        <v>14</v>
      </c>
      <c r="C32" s="26">
        <v>5</v>
      </c>
      <c r="D32" s="27">
        <v>0.02</v>
      </c>
      <c r="E32" s="33">
        <v>2.197E-2</v>
      </c>
      <c r="F32" s="28">
        <v>250000</v>
      </c>
      <c r="G32" s="29">
        <f t="shared" si="2"/>
        <v>1.1040808032</v>
      </c>
      <c r="H32" s="28">
        <f>F32*((1+D32)^C32)</f>
        <v>276020.20079999999</v>
      </c>
      <c r="I32" s="29">
        <f t="shared" si="3"/>
        <v>1.1147840240165758</v>
      </c>
      <c r="J32" s="48">
        <f>H32/I32</f>
        <v>247599.7097675449</v>
      </c>
      <c r="K32" s="5"/>
      <c r="N32" s="7"/>
      <c r="O32" s="5"/>
    </row>
    <row r="33" spans="1:15" x14ac:dyDescent="0.25">
      <c r="A33" s="24">
        <v>2021</v>
      </c>
      <c r="B33" s="26" t="s">
        <v>15</v>
      </c>
      <c r="C33" s="26">
        <v>6</v>
      </c>
      <c r="D33" s="27">
        <v>0.02</v>
      </c>
      <c r="E33" s="33">
        <v>2.383E-2</v>
      </c>
      <c r="F33" s="28">
        <v>10000</v>
      </c>
      <c r="G33" s="29">
        <f>(1+D33)^C33</f>
        <v>1.1261624192640001</v>
      </c>
      <c r="H33" s="28">
        <f t="shared" ref="H33:H52" si="4">F33*((1+D33)^C33)</f>
        <v>11261.62419264</v>
      </c>
      <c r="I33" s="29">
        <f>(1+E33)^C33</f>
        <v>1.1517735632346653</v>
      </c>
      <c r="J33" s="48">
        <f t="shared" ref="J33:J52" si="5">H33/I33</f>
        <v>9777.6373343842133</v>
      </c>
      <c r="N33" s="7"/>
      <c r="O33" s="5"/>
    </row>
    <row r="34" spans="1:15" x14ac:dyDescent="0.25">
      <c r="A34" s="24">
        <v>2022</v>
      </c>
      <c r="B34" s="26" t="s">
        <v>16</v>
      </c>
      <c r="C34" s="26">
        <v>7</v>
      </c>
      <c r="D34" s="27">
        <v>0.02</v>
      </c>
      <c r="E34" s="33">
        <v>2.547E-2</v>
      </c>
      <c r="F34" s="28">
        <v>10000</v>
      </c>
      <c r="G34" s="29">
        <f t="shared" ref="G34:G51" si="6">(1+D34)^C34</f>
        <v>1.1486856676492798</v>
      </c>
      <c r="H34" s="28">
        <f t="shared" si="4"/>
        <v>11486.856676492798</v>
      </c>
      <c r="I34" s="29">
        <f t="shared" ref="I34:I52" si="7">(1+E34)^C34</f>
        <v>1.1925063975165731</v>
      </c>
      <c r="J34" s="48">
        <f t="shared" si="5"/>
        <v>9632.5325385377291</v>
      </c>
      <c r="K34" s="5"/>
      <c r="N34" s="7"/>
      <c r="O34" s="5"/>
    </row>
    <row r="35" spans="1:15" x14ac:dyDescent="0.25">
      <c r="A35" s="24">
        <v>2023</v>
      </c>
      <c r="B35" s="26" t="s">
        <v>17</v>
      </c>
      <c r="C35" s="26">
        <v>8</v>
      </c>
      <c r="D35" s="27">
        <v>0.02</v>
      </c>
      <c r="E35" s="33">
        <v>2.6919999999999999E-2</v>
      </c>
      <c r="F35" s="28">
        <v>10000</v>
      </c>
      <c r="G35" s="29">
        <f t="shared" si="6"/>
        <v>1.1716593810022655</v>
      </c>
      <c r="H35" s="28">
        <f t="shared" si="4"/>
        <v>11716.593810022656</v>
      </c>
      <c r="I35" s="29">
        <f t="shared" si="7"/>
        <v>1.2367812628116466</v>
      </c>
      <c r="J35" s="48">
        <f t="shared" si="5"/>
        <v>9473.4567561176045</v>
      </c>
      <c r="N35" s="7"/>
      <c r="O35" s="5"/>
    </row>
    <row r="36" spans="1:15" x14ac:dyDescent="0.25">
      <c r="A36" s="24">
        <v>2024</v>
      </c>
      <c r="B36" s="26" t="s">
        <v>18</v>
      </c>
      <c r="C36" s="26">
        <v>9</v>
      </c>
      <c r="D36" s="27">
        <v>0.02</v>
      </c>
      <c r="E36" s="33">
        <v>2.8379999999999999E-2</v>
      </c>
      <c r="F36" s="28">
        <v>10000</v>
      </c>
      <c r="G36" s="29">
        <f t="shared" si="6"/>
        <v>1.1950925686223108</v>
      </c>
      <c r="H36" s="28">
        <f t="shared" si="4"/>
        <v>11950.925686223109</v>
      </c>
      <c r="I36" s="29">
        <f t="shared" si="7"/>
        <v>1.2864194471321551</v>
      </c>
      <c r="J36" s="48">
        <f t="shared" si="5"/>
        <v>9290.0692016632565</v>
      </c>
      <c r="K36" s="5"/>
      <c r="N36" s="7"/>
      <c r="O36" s="5"/>
    </row>
    <row r="37" spans="1:15" x14ac:dyDescent="0.25">
      <c r="A37" s="24">
        <v>2025</v>
      </c>
      <c r="B37" s="26" t="s">
        <v>19</v>
      </c>
      <c r="C37" s="26">
        <v>10</v>
      </c>
      <c r="D37" s="27">
        <v>0.02</v>
      </c>
      <c r="E37" s="33">
        <v>2.9250000000000002E-2</v>
      </c>
      <c r="F37" s="28">
        <v>10000</v>
      </c>
      <c r="G37" s="29">
        <f t="shared" si="6"/>
        <v>1.2189944199947571</v>
      </c>
      <c r="H37" s="28">
        <f t="shared" si="4"/>
        <v>12189.944199947571</v>
      </c>
      <c r="I37" s="29">
        <f t="shared" si="7"/>
        <v>1.3341625833999931</v>
      </c>
      <c r="J37" s="48">
        <f t="shared" si="5"/>
        <v>9136.7756461004901</v>
      </c>
      <c r="N37" s="7"/>
      <c r="O37" s="5"/>
    </row>
    <row r="38" spans="1:15" x14ac:dyDescent="0.25">
      <c r="A38" s="24">
        <v>2026</v>
      </c>
      <c r="B38" s="26" t="s">
        <v>20</v>
      </c>
      <c r="C38" s="26">
        <v>11</v>
      </c>
      <c r="D38" s="27">
        <v>0.02</v>
      </c>
      <c r="E38" s="33">
        <v>2.9659999999999999E-2</v>
      </c>
      <c r="F38" s="28">
        <v>10000</v>
      </c>
      <c r="G38" s="29">
        <f t="shared" si="6"/>
        <v>1.243374308394652</v>
      </c>
      <c r="H38" s="28">
        <f t="shared" si="4"/>
        <v>12433.74308394652</v>
      </c>
      <c r="I38" s="29">
        <f t="shared" si="7"/>
        <v>1.3792159110038158</v>
      </c>
      <c r="J38" s="48">
        <f t="shared" si="5"/>
        <v>9015.0809490713018</v>
      </c>
      <c r="N38" s="7"/>
      <c r="O38" s="5"/>
    </row>
    <row r="39" spans="1:15" x14ac:dyDescent="0.25">
      <c r="A39" s="24">
        <v>2027</v>
      </c>
      <c r="B39" s="26" t="s">
        <v>21</v>
      </c>
      <c r="C39" s="26">
        <v>12</v>
      </c>
      <c r="D39" s="27">
        <v>0.02</v>
      </c>
      <c r="E39" s="33">
        <v>3.0540000000000001E-2</v>
      </c>
      <c r="F39" s="28">
        <v>10000</v>
      </c>
      <c r="G39" s="29">
        <f t="shared" si="6"/>
        <v>1.2682417945625453</v>
      </c>
      <c r="H39" s="28">
        <f t="shared" si="4"/>
        <v>12682.417945625453</v>
      </c>
      <c r="I39" s="29">
        <f t="shared" si="7"/>
        <v>1.4347566320589649</v>
      </c>
      <c r="J39" s="48">
        <f t="shared" si="5"/>
        <v>8839.421029492225</v>
      </c>
      <c r="K39" s="5"/>
      <c r="N39" s="7"/>
      <c r="O39" s="5"/>
    </row>
    <row r="40" spans="1:15" x14ac:dyDescent="0.25">
      <c r="A40" s="24">
        <v>2028</v>
      </c>
      <c r="B40" s="26" t="s">
        <v>22</v>
      </c>
      <c r="C40" s="26">
        <v>13</v>
      </c>
      <c r="D40" s="27">
        <v>0.02</v>
      </c>
      <c r="E40" s="33">
        <v>3.1E-2</v>
      </c>
      <c r="F40" s="28">
        <v>10000</v>
      </c>
      <c r="G40" s="29">
        <f t="shared" si="6"/>
        <v>1.2936066304537961</v>
      </c>
      <c r="H40" s="28">
        <f t="shared" si="4"/>
        <v>12936.066304537961</v>
      </c>
      <c r="I40" s="29">
        <f t="shared" si="7"/>
        <v>1.4871769605171099</v>
      </c>
      <c r="J40" s="48">
        <f t="shared" si="5"/>
        <v>8698.4041899357617</v>
      </c>
      <c r="N40" s="7"/>
      <c r="O40" s="5"/>
    </row>
    <row r="41" spans="1:15" x14ac:dyDescent="0.25">
      <c r="A41" s="24">
        <v>2029</v>
      </c>
      <c r="B41" s="26" t="s">
        <v>23</v>
      </c>
      <c r="C41" s="26">
        <v>14</v>
      </c>
      <c r="D41" s="27">
        <v>0.02</v>
      </c>
      <c r="E41" s="33">
        <v>3.1980000000000001E-2</v>
      </c>
      <c r="F41" s="28">
        <v>10000</v>
      </c>
      <c r="G41" s="29">
        <f t="shared" si="6"/>
        <v>1.3194787630628722</v>
      </c>
      <c r="H41" s="28">
        <f t="shared" si="4"/>
        <v>13194.787630628722</v>
      </c>
      <c r="I41" s="29">
        <f t="shared" si="7"/>
        <v>1.5538100606365834</v>
      </c>
      <c r="J41" s="48">
        <f t="shared" si="5"/>
        <v>8491.8922620586745</v>
      </c>
      <c r="K41" s="5"/>
      <c r="N41" s="7"/>
      <c r="O41" s="5"/>
    </row>
    <row r="42" spans="1:15" x14ac:dyDescent="0.25">
      <c r="A42" s="24">
        <v>2030</v>
      </c>
      <c r="B42" s="26" t="s">
        <v>24</v>
      </c>
      <c r="C42" s="26">
        <v>15</v>
      </c>
      <c r="D42" s="27">
        <v>0.02</v>
      </c>
      <c r="E42" s="33">
        <v>3.1980000000000001E-2</v>
      </c>
      <c r="F42" s="28">
        <v>10000</v>
      </c>
      <c r="G42" s="29">
        <f t="shared" si="6"/>
        <v>1.3458683383241292</v>
      </c>
      <c r="H42" s="28">
        <f t="shared" si="4"/>
        <v>13458.683383241292</v>
      </c>
      <c r="I42" s="29">
        <f t="shared" si="7"/>
        <v>1.6035009063757411</v>
      </c>
      <c r="J42" s="48">
        <f t="shared" si="5"/>
        <v>8393.3119898639961</v>
      </c>
      <c r="N42" s="7"/>
      <c r="O42" s="5"/>
    </row>
    <row r="43" spans="1:15" x14ac:dyDescent="0.25">
      <c r="A43" s="24">
        <v>2031</v>
      </c>
      <c r="B43" s="26" t="s">
        <v>25</v>
      </c>
      <c r="C43" s="26">
        <v>16</v>
      </c>
      <c r="D43" s="27">
        <v>0.02</v>
      </c>
      <c r="E43" s="33">
        <v>3.1980000000000001E-2</v>
      </c>
      <c r="F43" s="28">
        <v>10000</v>
      </c>
      <c r="G43" s="29">
        <f t="shared" si="6"/>
        <v>1.372785705090612</v>
      </c>
      <c r="H43" s="28">
        <f t="shared" si="4"/>
        <v>13727.857050906121</v>
      </c>
      <c r="I43" s="29">
        <f t="shared" si="7"/>
        <v>1.6547808653616372</v>
      </c>
      <c r="J43" s="48">
        <f t="shared" si="5"/>
        <v>8295.8761116119294</v>
      </c>
      <c r="N43" s="7"/>
      <c r="O43" s="5"/>
    </row>
    <row r="44" spans="1:15" x14ac:dyDescent="0.25">
      <c r="A44" s="24">
        <v>2032</v>
      </c>
      <c r="B44" s="26" t="s">
        <v>26</v>
      </c>
      <c r="C44" s="26">
        <v>17</v>
      </c>
      <c r="D44" s="27">
        <v>0.02</v>
      </c>
      <c r="E44" s="33">
        <v>3.1980000000000001E-2</v>
      </c>
      <c r="F44" s="28">
        <v>10000</v>
      </c>
      <c r="G44" s="29">
        <f t="shared" si="6"/>
        <v>1.4002414191924244</v>
      </c>
      <c r="H44" s="28">
        <f t="shared" si="4"/>
        <v>14002.414191924245</v>
      </c>
      <c r="I44" s="29">
        <f t="shared" si="7"/>
        <v>1.7077007574359022</v>
      </c>
      <c r="J44" s="48">
        <f t="shared" si="5"/>
        <v>8199.5713423168745</v>
      </c>
      <c r="N44" s="7"/>
      <c r="O44" s="5"/>
    </row>
    <row r="45" spans="1:15" x14ac:dyDescent="0.25">
      <c r="A45" s="24">
        <v>2033</v>
      </c>
      <c r="B45" s="26" t="s">
        <v>27</v>
      </c>
      <c r="C45" s="26">
        <v>18</v>
      </c>
      <c r="D45" s="27">
        <v>0.02</v>
      </c>
      <c r="E45" s="33">
        <v>3.3669999999999999E-2</v>
      </c>
      <c r="F45" s="28">
        <v>10000</v>
      </c>
      <c r="G45" s="29">
        <f t="shared" si="6"/>
        <v>1.4282462475762727</v>
      </c>
      <c r="H45" s="28">
        <f t="shared" si="4"/>
        <v>14282.462475762728</v>
      </c>
      <c r="I45" s="29">
        <f t="shared" si="7"/>
        <v>1.8149907509376895</v>
      </c>
      <c r="J45" s="48">
        <f t="shared" si="5"/>
        <v>7869.1654314953912</v>
      </c>
      <c r="N45" s="7"/>
      <c r="O45" s="5"/>
    </row>
    <row r="46" spans="1:15" x14ac:dyDescent="0.25">
      <c r="A46" s="24">
        <v>2034</v>
      </c>
      <c r="B46" s="26" t="s">
        <v>28</v>
      </c>
      <c r="C46" s="26">
        <v>19</v>
      </c>
      <c r="D46" s="27">
        <v>0.02</v>
      </c>
      <c r="E46" s="33">
        <v>3.4200000000000001E-2</v>
      </c>
      <c r="F46" s="28">
        <v>10000</v>
      </c>
      <c r="G46" s="29">
        <f t="shared" si="6"/>
        <v>1.4568111725277981</v>
      </c>
      <c r="H46" s="28">
        <f t="shared" si="4"/>
        <v>14568.11172527798</v>
      </c>
      <c r="I46" s="29">
        <f t="shared" si="7"/>
        <v>1.8944630332534185</v>
      </c>
      <c r="J46" s="48">
        <f t="shared" si="5"/>
        <v>7689.836892863369</v>
      </c>
      <c r="N46" s="7"/>
      <c r="O46" s="5"/>
    </row>
    <row r="47" spans="1:15" x14ac:dyDescent="0.25">
      <c r="A47" s="24">
        <v>2035</v>
      </c>
      <c r="B47" s="26" t="s">
        <v>29</v>
      </c>
      <c r="C47" s="26">
        <v>20</v>
      </c>
      <c r="D47" s="27">
        <v>0.02</v>
      </c>
      <c r="E47" s="33">
        <v>3.4799999999999998E-2</v>
      </c>
      <c r="F47" s="28">
        <v>10000</v>
      </c>
      <c r="G47" s="29">
        <f t="shared" si="6"/>
        <v>1.4859473959783542</v>
      </c>
      <c r="H47" s="28">
        <f t="shared" si="4"/>
        <v>14859.473959783543</v>
      </c>
      <c r="I47" s="29">
        <f t="shared" si="7"/>
        <v>1.9821129587602895</v>
      </c>
      <c r="J47" s="48">
        <f t="shared" si="5"/>
        <v>7496.784627793053</v>
      </c>
      <c r="N47" s="7"/>
      <c r="O47" s="5"/>
    </row>
    <row r="48" spans="1:15" x14ac:dyDescent="0.25">
      <c r="A48" s="24">
        <v>2036</v>
      </c>
      <c r="B48" s="26" t="s">
        <v>30</v>
      </c>
      <c r="C48" s="26">
        <v>21</v>
      </c>
      <c r="D48" s="27">
        <v>0.02</v>
      </c>
      <c r="E48" s="33">
        <v>3.5000000000000003E-2</v>
      </c>
      <c r="F48" s="28">
        <v>10000</v>
      </c>
      <c r="G48" s="29">
        <f t="shared" si="6"/>
        <v>1.5156663438979212</v>
      </c>
      <c r="H48" s="28">
        <f t="shared" si="4"/>
        <v>15156.663438979213</v>
      </c>
      <c r="I48" s="29">
        <f t="shared" si="7"/>
        <v>2.0594314736871469</v>
      </c>
      <c r="J48" s="48">
        <f t="shared" si="5"/>
        <v>7359.6347499939675</v>
      </c>
      <c r="N48" s="7"/>
      <c r="O48" s="5"/>
    </row>
    <row r="49" spans="1:15" x14ac:dyDescent="0.25">
      <c r="A49" s="24">
        <v>2037</v>
      </c>
      <c r="B49" s="26" t="s">
        <v>31</v>
      </c>
      <c r="C49" s="26">
        <v>22</v>
      </c>
      <c r="D49" s="27">
        <v>0.02</v>
      </c>
      <c r="E49" s="33">
        <v>3.5049999999999998E-2</v>
      </c>
      <c r="F49" s="28">
        <v>10000</v>
      </c>
      <c r="G49" s="29">
        <f t="shared" si="6"/>
        <v>1.5459796707758797</v>
      </c>
      <c r="H49" s="28">
        <f t="shared" si="4"/>
        <v>15459.796707758796</v>
      </c>
      <c r="I49" s="29">
        <f t="shared" si="7"/>
        <v>2.1337780993604949</v>
      </c>
      <c r="J49" s="48">
        <f t="shared" si="5"/>
        <v>7245.2691835164032</v>
      </c>
      <c r="N49" s="7"/>
      <c r="O49" s="5"/>
    </row>
    <row r="50" spans="1:15" x14ac:dyDescent="0.25">
      <c r="A50" s="24">
        <v>2038</v>
      </c>
      <c r="B50" s="26" t="s">
        <v>32</v>
      </c>
      <c r="C50" s="26">
        <v>23</v>
      </c>
      <c r="D50" s="27">
        <v>0.02</v>
      </c>
      <c r="E50" s="33">
        <v>3.5099999999999999E-2</v>
      </c>
      <c r="F50" s="28">
        <v>10000</v>
      </c>
      <c r="G50" s="29">
        <f t="shared" si="6"/>
        <v>1.576899264191397</v>
      </c>
      <c r="H50" s="28">
        <f t="shared" si="4"/>
        <v>15768.99264191397</v>
      </c>
      <c r="I50" s="29">
        <f t="shared" si="7"/>
        <v>2.2110221709108755</v>
      </c>
      <c r="J50" s="48">
        <f t="shared" si="5"/>
        <v>7131.992093691948</v>
      </c>
      <c r="N50" s="7"/>
      <c r="O50" s="5"/>
    </row>
    <row r="51" spans="1:15" x14ac:dyDescent="0.25">
      <c r="A51" s="24">
        <v>2039</v>
      </c>
      <c r="B51" s="26" t="s">
        <v>33</v>
      </c>
      <c r="C51" s="26">
        <v>24</v>
      </c>
      <c r="D51" s="27">
        <v>0.02</v>
      </c>
      <c r="E51" s="33">
        <v>3.5099999999999999E-2</v>
      </c>
      <c r="F51" s="28">
        <v>10000</v>
      </c>
      <c r="G51" s="29">
        <f t="shared" si="6"/>
        <v>1.608437249475225</v>
      </c>
      <c r="H51" s="28">
        <f t="shared" si="4"/>
        <v>16084.37249475225</v>
      </c>
      <c r="I51" s="29">
        <f t="shared" si="7"/>
        <v>2.2886290491098471</v>
      </c>
      <c r="J51" s="48">
        <f t="shared" si="5"/>
        <v>7027.9508603669083</v>
      </c>
      <c r="N51" s="7"/>
      <c r="O51" s="5"/>
    </row>
    <row r="52" spans="1:15" x14ac:dyDescent="0.25">
      <c r="A52" s="24">
        <v>2040</v>
      </c>
      <c r="B52" s="26" t="s">
        <v>34</v>
      </c>
      <c r="C52" s="26">
        <v>25</v>
      </c>
      <c r="D52" s="27">
        <v>0.02</v>
      </c>
      <c r="E52" s="33">
        <v>3.5099999999999999E-2</v>
      </c>
      <c r="F52" s="28">
        <v>10000</v>
      </c>
      <c r="G52" s="29">
        <f>(1+D52)^C52</f>
        <v>1.6406059944647295</v>
      </c>
      <c r="H52" s="28">
        <f t="shared" si="4"/>
        <v>16406.059944647295</v>
      </c>
      <c r="I52" s="29">
        <f t="shared" si="7"/>
        <v>2.3689599287336027</v>
      </c>
      <c r="J52" s="48">
        <f t="shared" si="5"/>
        <v>6925.4273766537017</v>
      </c>
      <c r="N52" s="7"/>
      <c r="O52" s="5"/>
    </row>
    <row r="53" spans="1:15" x14ac:dyDescent="0.25">
      <c r="A53" s="24">
        <v>2041</v>
      </c>
      <c r="B53" s="26" t="s">
        <v>100</v>
      </c>
      <c r="C53" s="26">
        <v>26</v>
      </c>
      <c r="D53" s="27">
        <v>0.02</v>
      </c>
      <c r="E53" s="33">
        <v>3.5099999999999999E-2</v>
      </c>
      <c r="F53" s="28">
        <v>10000</v>
      </c>
      <c r="G53" s="29">
        <f t="shared" ref="G53:G57" si="8">(1+D53)^C53</f>
        <v>1.6734181143540243</v>
      </c>
      <c r="H53" s="28">
        <f t="shared" ref="H53:H57" si="9">F53*((1+D53)^C53)</f>
        <v>16734.181143540241</v>
      </c>
      <c r="I53" s="29">
        <f t="shared" ref="I53:I57" si="10">(1+E53)^C53</f>
        <v>2.4521104222321521</v>
      </c>
      <c r="J53" s="48">
        <f t="shared" ref="J53:J57" si="11">H53/I53</f>
        <v>6824.3995016778827</v>
      </c>
      <c r="N53" s="7"/>
      <c r="O53" s="5"/>
    </row>
    <row r="54" spans="1:15" x14ac:dyDescent="0.25">
      <c r="A54" s="24">
        <v>2042</v>
      </c>
      <c r="B54" s="26" t="s">
        <v>101</v>
      </c>
      <c r="C54" s="26">
        <v>27</v>
      </c>
      <c r="D54" s="27">
        <v>0.02</v>
      </c>
      <c r="E54" s="33">
        <v>3.5099999999999999E-2</v>
      </c>
      <c r="F54" s="28">
        <v>10000</v>
      </c>
      <c r="G54" s="29">
        <f t="shared" si="8"/>
        <v>1.7068864766411045</v>
      </c>
      <c r="H54" s="28">
        <f t="shared" si="9"/>
        <v>17068.864766411043</v>
      </c>
      <c r="I54" s="29">
        <f t="shared" si="10"/>
        <v>2.5381794980525001</v>
      </c>
      <c r="J54" s="48">
        <f t="shared" si="11"/>
        <v>6724.8454175552515</v>
      </c>
      <c r="N54" s="7"/>
      <c r="O54" s="5"/>
    </row>
    <row r="55" spans="1:15" x14ac:dyDescent="0.25">
      <c r="A55" s="24">
        <v>2043</v>
      </c>
      <c r="B55" s="26" t="s">
        <v>102</v>
      </c>
      <c r="C55" s="26">
        <v>28</v>
      </c>
      <c r="D55" s="27">
        <v>0.02</v>
      </c>
      <c r="E55" s="33">
        <v>3.5099999999999999E-2</v>
      </c>
      <c r="F55" s="28">
        <v>10000</v>
      </c>
      <c r="G55" s="29">
        <f t="shared" si="8"/>
        <v>1.7410242061739269</v>
      </c>
      <c r="H55" s="28">
        <f t="shared" si="9"/>
        <v>17410.242061739271</v>
      </c>
      <c r="I55" s="29">
        <f t="shared" si="10"/>
        <v>2.6272695984341432</v>
      </c>
      <c r="J55" s="48">
        <f t="shared" si="11"/>
        <v>6626.7436246800871</v>
      </c>
      <c r="N55" s="7"/>
      <c r="O55" s="5"/>
    </row>
    <row r="56" spans="1:15" x14ac:dyDescent="0.25">
      <c r="A56" s="24">
        <v>2044</v>
      </c>
      <c r="B56" s="26" t="s">
        <v>103</v>
      </c>
      <c r="C56" s="26">
        <v>29</v>
      </c>
      <c r="D56" s="27">
        <v>0.02</v>
      </c>
      <c r="E56" s="33">
        <v>3.5099999999999999E-2</v>
      </c>
      <c r="F56" s="28">
        <v>10000</v>
      </c>
      <c r="G56" s="29">
        <f t="shared" si="8"/>
        <v>1.7758446902974052</v>
      </c>
      <c r="H56" s="28">
        <f t="shared" si="9"/>
        <v>17758.446902974054</v>
      </c>
      <c r="I56" s="29">
        <f t="shared" si="10"/>
        <v>2.7194867613391813</v>
      </c>
      <c r="J56" s="48">
        <f t="shared" si="11"/>
        <v>6530.0729370821064</v>
      </c>
      <c r="N56" s="7"/>
      <c r="O56" s="5"/>
    </row>
    <row r="57" spans="1:15" x14ac:dyDescent="0.25">
      <c r="A57" s="24">
        <v>2045</v>
      </c>
      <c r="B57" s="26" t="s">
        <v>104</v>
      </c>
      <c r="C57" s="26">
        <v>30</v>
      </c>
      <c r="D57" s="27">
        <v>0.02</v>
      </c>
      <c r="E57" s="33">
        <v>3.5099999999999999E-2</v>
      </c>
      <c r="F57" s="28">
        <v>10000</v>
      </c>
      <c r="G57" s="29">
        <f t="shared" si="8"/>
        <v>1.8113615841033535</v>
      </c>
      <c r="H57" s="28">
        <f t="shared" si="9"/>
        <v>18113.615841033534</v>
      </c>
      <c r="I57" s="29">
        <f t="shared" si="10"/>
        <v>2.8149407466621863</v>
      </c>
      <c r="J57" s="48">
        <f t="shared" si="11"/>
        <v>6434.8124778511728</v>
      </c>
      <c r="N57" s="7"/>
      <c r="O57" s="5"/>
    </row>
    <row r="58" spans="1:15" x14ac:dyDescent="0.25">
      <c r="A58" s="24">
        <v>2046</v>
      </c>
      <c r="B58" s="26" t="s">
        <v>105</v>
      </c>
      <c r="C58" s="26">
        <v>31</v>
      </c>
      <c r="D58" s="27">
        <v>0.02</v>
      </c>
      <c r="E58" s="33">
        <v>3.5099999999999999E-2</v>
      </c>
      <c r="F58" s="28">
        <v>10000</v>
      </c>
      <c r="G58" s="29">
        <f t="shared" ref="G58:G62" si="12">(1+D58)^C58</f>
        <v>1.8475888157854201</v>
      </c>
      <c r="H58" s="28">
        <f t="shared" ref="H58:H62" si="13">F58*((1+D58)^C58)</f>
        <v>18475.888157854202</v>
      </c>
      <c r="I58" s="29">
        <f t="shared" ref="I58:I62" si="14">(1+E58)^C58</f>
        <v>2.9137451668700289</v>
      </c>
      <c r="J58" s="48">
        <f t="shared" ref="J58:J62" si="15">H58/I58</f>
        <v>6340.9416746287279</v>
      </c>
      <c r="N58" s="7"/>
      <c r="O58" s="5"/>
    </row>
    <row r="59" spans="1:15" x14ac:dyDescent="0.25">
      <c r="A59" s="24">
        <v>2047</v>
      </c>
      <c r="B59" s="26" t="s">
        <v>106</v>
      </c>
      <c r="C59" s="26">
        <v>32</v>
      </c>
      <c r="D59" s="27">
        <v>0.02</v>
      </c>
      <c r="E59" s="33">
        <v>3.5099999999999999E-2</v>
      </c>
      <c r="F59" s="28">
        <v>10000</v>
      </c>
      <c r="G59" s="29">
        <f t="shared" si="12"/>
        <v>1.8845405921011289</v>
      </c>
      <c r="H59" s="28">
        <f t="shared" si="13"/>
        <v>18845.40592101129</v>
      </c>
      <c r="I59" s="29">
        <f t="shared" si="14"/>
        <v>3.0160176222271669</v>
      </c>
      <c r="J59" s="48">
        <f t="shared" si="15"/>
        <v>6248.4402551650119</v>
      </c>
      <c r="N59" s="7"/>
      <c r="O59" s="5"/>
    </row>
    <row r="60" spans="1:15" x14ac:dyDescent="0.25">
      <c r="A60" s="24">
        <v>2048</v>
      </c>
      <c r="B60" s="26" t="s">
        <v>107</v>
      </c>
      <c r="C60" s="26">
        <v>33</v>
      </c>
      <c r="D60" s="27">
        <v>0.02</v>
      </c>
      <c r="E60" s="33">
        <v>3.5099999999999999E-2</v>
      </c>
      <c r="F60" s="28">
        <v>10000</v>
      </c>
      <c r="G60" s="29">
        <f t="shared" si="12"/>
        <v>1.9222314039431516</v>
      </c>
      <c r="H60" s="28">
        <f t="shared" si="13"/>
        <v>19222.314039431516</v>
      </c>
      <c r="I60" s="29">
        <f t="shared" si="14"/>
        <v>3.12187984076734</v>
      </c>
      <c r="J60" s="48">
        <f t="shared" si="15"/>
        <v>6157.2882429410811</v>
      </c>
      <c r="N60" s="7"/>
      <c r="O60" s="5"/>
    </row>
    <row r="61" spans="1:15" x14ac:dyDescent="0.25">
      <c r="A61" s="24">
        <v>2049</v>
      </c>
      <c r="B61" s="26" t="s">
        <v>108</v>
      </c>
      <c r="C61" s="26">
        <v>34</v>
      </c>
      <c r="D61" s="27">
        <v>0.02</v>
      </c>
      <c r="E61" s="33">
        <v>3.5099999999999999E-2</v>
      </c>
      <c r="F61" s="28">
        <v>10000</v>
      </c>
      <c r="G61" s="29">
        <f t="shared" si="12"/>
        <v>1.9606760320220145</v>
      </c>
      <c r="H61" s="28">
        <f t="shared" si="13"/>
        <v>19606.760320220146</v>
      </c>
      <c r="I61" s="29">
        <f t="shared" si="14"/>
        <v>3.2314578231782738</v>
      </c>
      <c r="J61" s="48">
        <f t="shared" si="15"/>
        <v>6067.4659528547018</v>
      </c>
      <c r="N61" s="7"/>
      <c r="O61" s="5"/>
    </row>
    <row r="62" spans="1:15" ht="15.75" thickBot="1" x14ac:dyDescent="0.3">
      <c r="A62" s="15">
        <v>2050</v>
      </c>
      <c r="B62" s="16" t="s">
        <v>109</v>
      </c>
      <c r="C62" s="16">
        <v>35</v>
      </c>
      <c r="D62" s="34">
        <v>0.02</v>
      </c>
      <c r="E62" s="35">
        <v>3.5099999999999999E-2</v>
      </c>
      <c r="F62" s="36">
        <v>10000</v>
      </c>
      <c r="G62" s="37">
        <f t="shared" si="12"/>
        <v>1.9998895526624547</v>
      </c>
      <c r="H62" s="36">
        <f t="shared" si="13"/>
        <v>19998.895526624547</v>
      </c>
      <c r="I62" s="37">
        <f t="shared" si="14"/>
        <v>3.3448819927718305</v>
      </c>
      <c r="J62" s="50">
        <f t="shared" si="15"/>
        <v>5978.953986969178</v>
      </c>
      <c r="N62" s="7"/>
      <c r="O62" s="5"/>
    </row>
    <row r="64" spans="1:15" ht="15.75" thickBot="1" x14ac:dyDescent="0.3"/>
    <row r="65" spans="1:15" x14ac:dyDescent="0.25">
      <c r="A65" s="54"/>
      <c r="B65" s="96" t="s">
        <v>46</v>
      </c>
      <c r="C65" s="97"/>
      <c r="D65" s="97"/>
      <c r="E65" s="97"/>
      <c r="F65" s="97"/>
      <c r="G65" s="97"/>
      <c r="H65" s="97"/>
      <c r="I65" s="97"/>
      <c r="J65" s="98"/>
    </row>
    <row r="66" spans="1:15" ht="60.75" thickBot="1" x14ac:dyDescent="0.3">
      <c r="A66" s="55"/>
      <c r="B66" s="56"/>
      <c r="C66" s="57"/>
      <c r="D66" s="58" t="s">
        <v>40</v>
      </c>
      <c r="E66" s="58" t="s">
        <v>47</v>
      </c>
      <c r="F66" s="58" t="s">
        <v>39</v>
      </c>
      <c r="G66" s="58" t="s">
        <v>44</v>
      </c>
      <c r="H66" s="59" t="s">
        <v>41</v>
      </c>
      <c r="I66" s="59" t="s">
        <v>43</v>
      </c>
      <c r="J66" s="60" t="s">
        <v>42</v>
      </c>
    </row>
    <row r="67" spans="1:15" ht="15.75" thickBot="1" x14ac:dyDescent="0.3">
      <c r="A67" s="17"/>
      <c r="B67" s="9" t="s">
        <v>50</v>
      </c>
      <c r="C67" s="10"/>
      <c r="D67" s="11"/>
      <c r="E67" s="11"/>
      <c r="F67" s="11"/>
      <c r="G67" s="11"/>
      <c r="H67" s="12"/>
      <c r="I67" s="12"/>
      <c r="J67" s="18">
        <f>SUM(J68:J102)</f>
        <v>483731.47657777939</v>
      </c>
    </row>
    <row r="68" spans="1:15" x14ac:dyDescent="0.25">
      <c r="A68" s="13">
        <v>2016</v>
      </c>
      <c r="B68" s="14" t="s">
        <v>10</v>
      </c>
      <c r="C68" s="14">
        <v>1</v>
      </c>
      <c r="D68" s="20">
        <v>0.02</v>
      </c>
      <c r="E68" s="40">
        <v>0</v>
      </c>
      <c r="F68" s="21">
        <v>0</v>
      </c>
      <c r="G68" s="22">
        <f t="shared" ref="G68" si="16">(1+D68)^(C68-$C$68)</f>
        <v>1</v>
      </c>
      <c r="H68" s="14"/>
      <c r="I68" s="22">
        <f>(1+E69)^(C68-$C$68)</f>
        <v>1</v>
      </c>
      <c r="J68" s="23"/>
    </row>
    <row r="69" spans="1:15" x14ac:dyDescent="0.25">
      <c r="A69" s="24">
        <v>2017</v>
      </c>
      <c r="B69" s="25" t="s">
        <v>11</v>
      </c>
      <c r="C69" s="26">
        <v>2</v>
      </c>
      <c r="D69" s="27">
        <v>0.02</v>
      </c>
      <c r="E69" s="33">
        <v>1.8450000000000001E-2</v>
      </c>
      <c r="F69" s="28">
        <v>0</v>
      </c>
      <c r="G69" s="29">
        <f>(1+D69)^(C69-$C$68)</f>
        <v>1.02</v>
      </c>
      <c r="H69" s="26"/>
      <c r="I69" s="29">
        <f>(1+E69)^(C69-$C$68)</f>
        <v>1.0184500000000001</v>
      </c>
      <c r="J69" s="30"/>
      <c r="N69" s="7"/>
      <c r="O69" s="5"/>
    </row>
    <row r="70" spans="1:15" x14ac:dyDescent="0.25">
      <c r="A70" s="24">
        <v>2018</v>
      </c>
      <c r="B70" s="26" t="s">
        <v>12</v>
      </c>
      <c r="C70" s="26">
        <v>3</v>
      </c>
      <c r="D70" s="27">
        <v>0.02</v>
      </c>
      <c r="E70" s="33">
        <v>1.9199999999999998E-2</v>
      </c>
      <c r="F70" s="28">
        <v>0</v>
      </c>
      <c r="G70" s="29">
        <f t="shared" ref="G70:G92" si="17">(1+D70)^(C70-$C$68)</f>
        <v>1.0404</v>
      </c>
      <c r="H70" s="26"/>
      <c r="I70" s="29">
        <f t="shared" ref="I70:I92" si="18">(1+E70)^(C70-$C$68)</f>
        <v>1.0387686400000002</v>
      </c>
      <c r="J70" s="30"/>
      <c r="N70" s="7"/>
      <c r="O70" s="5"/>
    </row>
    <row r="71" spans="1:15" x14ac:dyDescent="0.25">
      <c r="A71" s="24">
        <v>2019</v>
      </c>
      <c r="B71" s="26" t="s">
        <v>13</v>
      </c>
      <c r="C71" s="26">
        <v>4</v>
      </c>
      <c r="D71" s="27">
        <v>0.02</v>
      </c>
      <c r="E71" s="33">
        <v>1.9789999999999999E-2</v>
      </c>
      <c r="F71" s="28">
        <v>0</v>
      </c>
      <c r="G71" s="29">
        <f t="shared" si="17"/>
        <v>1.0612079999999999</v>
      </c>
      <c r="H71" s="26"/>
      <c r="I71" s="29">
        <f t="shared" si="18"/>
        <v>1.0605526829367389</v>
      </c>
      <c r="J71" s="30"/>
      <c r="N71" s="7"/>
      <c r="O71" s="5"/>
    </row>
    <row r="72" spans="1:15" x14ac:dyDescent="0.25">
      <c r="A72" s="24">
        <v>2020</v>
      </c>
      <c r="B72" s="26" t="s">
        <v>14</v>
      </c>
      <c r="C72" s="26">
        <v>5</v>
      </c>
      <c r="D72" s="27">
        <v>0.02</v>
      </c>
      <c r="E72" s="33">
        <v>2.0119999999999999E-2</v>
      </c>
      <c r="F72" s="28">
        <v>250000</v>
      </c>
      <c r="G72" s="29">
        <f t="shared" si="17"/>
        <v>1.08243216</v>
      </c>
      <c r="H72" s="31">
        <f>F72*((1+D72)^(C72-$C$68))</f>
        <v>270608.03999999998</v>
      </c>
      <c r="I72" s="29">
        <f t="shared" si="18"/>
        <v>1.08294162973761</v>
      </c>
      <c r="J72" s="32">
        <f>H72/I72</f>
        <v>249882.38753511271</v>
      </c>
      <c r="N72" s="7"/>
      <c r="O72" s="5"/>
    </row>
    <row r="73" spans="1:15" x14ac:dyDescent="0.25">
      <c r="A73" s="24">
        <v>2021</v>
      </c>
      <c r="B73" s="26" t="s">
        <v>15</v>
      </c>
      <c r="C73" s="26">
        <v>6</v>
      </c>
      <c r="D73" s="27">
        <v>0.02</v>
      </c>
      <c r="E73" s="33">
        <v>2.197E-2</v>
      </c>
      <c r="F73" s="28">
        <v>10000</v>
      </c>
      <c r="G73" s="29">
        <f t="shared" si="17"/>
        <v>1.1040808032</v>
      </c>
      <c r="H73" s="31">
        <f t="shared" ref="H73:H92" si="19">F73*((1+D73)^(C73-$C$68))</f>
        <v>11040.808032000001</v>
      </c>
      <c r="I73" s="29">
        <f t="shared" si="18"/>
        <v>1.1147840240165758</v>
      </c>
      <c r="J73" s="32">
        <f t="shared" ref="J73:J92" si="20">H73/I73</f>
        <v>9903.9883907017975</v>
      </c>
      <c r="N73" s="7"/>
      <c r="O73" s="5"/>
    </row>
    <row r="74" spans="1:15" x14ac:dyDescent="0.25">
      <c r="A74" s="24">
        <v>2022</v>
      </c>
      <c r="B74" s="26" t="s">
        <v>16</v>
      </c>
      <c r="C74" s="26">
        <v>7</v>
      </c>
      <c r="D74" s="27">
        <v>0.02</v>
      </c>
      <c r="E74" s="33">
        <v>2.383E-2</v>
      </c>
      <c r="F74" s="28">
        <v>10000</v>
      </c>
      <c r="G74" s="29">
        <f t="shared" si="17"/>
        <v>1.1261624192640001</v>
      </c>
      <c r="H74" s="31">
        <f t="shared" si="19"/>
        <v>11261.62419264</v>
      </c>
      <c r="I74" s="29">
        <f t="shared" si="18"/>
        <v>1.1517735632346653</v>
      </c>
      <c r="J74" s="32">
        <f t="shared" si="20"/>
        <v>9777.6373343842133</v>
      </c>
      <c r="N74" s="7"/>
      <c r="O74" s="5"/>
    </row>
    <row r="75" spans="1:15" x14ac:dyDescent="0.25">
      <c r="A75" s="24">
        <v>2023</v>
      </c>
      <c r="B75" s="26" t="s">
        <v>17</v>
      </c>
      <c r="C75" s="26">
        <v>8</v>
      </c>
      <c r="D75" s="27">
        <v>0.02</v>
      </c>
      <c r="E75" s="33">
        <v>2.547E-2</v>
      </c>
      <c r="F75" s="28">
        <v>10000</v>
      </c>
      <c r="G75" s="29">
        <f t="shared" si="17"/>
        <v>1.1486856676492798</v>
      </c>
      <c r="H75" s="31">
        <f t="shared" si="19"/>
        <v>11486.856676492798</v>
      </c>
      <c r="I75" s="29">
        <f t="shared" si="18"/>
        <v>1.1925063975165731</v>
      </c>
      <c r="J75" s="32">
        <f t="shared" si="20"/>
        <v>9632.5325385377291</v>
      </c>
      <c r="N75" s="7"/>
      <c r="O75" s="5"/>
    </row>
    <row r="76" spans="1:15" x14ac:dyDescent="0.25">
      <c r="A76" s="24">
        <v>2024</v>
      </c>
      <c r="B76" s="26" t="s">
        <v>18</v>
      </c>
      <c r="C76" s="26">
        <v>9</v>
      </c>
      <c r="D76" s="27">
        <v>0.02</v>
      </c>
      <c r="E76" s="33">
        <v>2.6919999999999999E-2</v>
      </c>
      <c r="F76" s="28">
        <v>10000</v>
      </c>
      <c r="G76" s="29">
        <f t="shared" si="17"/>
        <v>1.1716593810022655</v>
      </c>
      <c r="H76" s="31">
        <f t="shared" si="19"/>
        <v>11716.593810022656</v>
      </c>
      <c r="I76" s="29">
        <f t="shared" si="18"/>
        <v>1.2367812628116466</v>
      </c>
      <c r="J76" s="32">
        <f t="shared" si="20"/>
        <v>9473.4567561176045</v>
      </c>
      <c r="N76" s="7"/>
      <c r="O76" s="5"/>
    </row>
    <row r="77" spans="1:15" x14ac:dyDescent="0.25">
      <c r="A77" s="24">
        <v>2025</v>
      </c>
      <c r="B77" s="26" t="s">
        <v>19</v>
      </c>
      <c r="C77" s="26">
        <v>10</v>
      </c>
      <c r="D77" s="27">
        <v>0.02</v>
      </c>
      <c r="E77" s="33">
        <v>2.8379999999999999E-2</v>
      </c>
      <c r="F77" s="28">
        <v>10000</v>
      </c>
      <c r="G77" s="29">
        <f t="shared" si="17"/>
        <v>1.1950925686223108</v>
      </c>
      <c r="H77" s="31">
        <f t="shared" si="19"/>
        <v>11950.925686223109</v>
      </c>
      <c r="I77" s="29">
        <f t="shared" si="18"/>
        <v>1.2864194471321551</v>
      </c>
      <c r="J77" s="32">
        <f t="shared" si="20"/>
        <v>9290.0692016632565</v>
      </c>
      <c r="N77" s="7"/>
      <c r="O77" s="5"/>
    </row>
    <row r="78" spans="1:15" x14ac:dyDescent="0.25">
      <c r="A78" s="24">
        <v>2026</v>
      </c>
      <c r="B78" s="26" t="s">
        <v>20</v>
      </c>
      <c r="C78" s="26">
        <v>11</v>
      </c>
      <c r="D78" s="27">
        <v>0.02</v>
      </c>
      <c r="E78" s="33">
        <v>2.9250000000000002E-2</v>
      </c>
      <c r="F78" s="28">
        <v>10000</v>
      </c>
      <c r="G78" s="29">
        <f t="shared" si="17"/>
        <v>1.2189944199947571</v>
      </c>
      <c r="H78" s="31">
        <f t="shared" si="19"/>
        <v>12189.944199947571</v>
      </c>
      <c r="I78" s="29">
        <f t="shared" si="18"/>
        <v>1.3341625833999931</v>
      </c>
      <c r="J78" s="32">
        <f t="shared" si="20"/>
        <v>9136.7756461004901</v>
      </c>
      <c r="N78" s="7"/>
      <c r="O78" s="5"/>
    </row>
    <row r="79" spans="1:15" x14ac:dyDescent="0.25">
      <c r="A79" s="24">
        <v>2027</v>
      </c>
      <c r="B79" s="26" t="s">
        <v>21</v>
      </c>
      <c r="C79" s="26">
        <v>12</v>
      </c>
      <c r="D79" s="27">
        <v>0.02</v>
      </c>
      <c r="E79" s="33">
        <v>2.9659999999999999E-2</v>
      </c>
      <c r="F79" s="28">
        <v>10000</v>
      </c>
      <c r="G79" s="29">
        <f t="shared" si="17"/>
        <v>1.243374308394652</v>
      </c>
      <c r="H79" s="31">
        <f t="shared" si="19"/>
        <v>12433.74308394652</v>
      </c>
      <c r="I79" s="29">
        <f t="shared" si="18"/>
        <v>1.3792159110038158</v>
      </c>
      <c r="J79" s="32">
        <f t="shared" si="20"/>
        <v>9015.0809490713018</v>
      </c>
      <c r="N79" s="7"/>
      <c r="O79" s="5"/>
    </row>
    <row r="80" spans="1:15" x14ac:dyDescent="0.25">
      <c r="A80" s="24">
        <v>2028</v>
      </c>
      <c r="B80" s="26" t="s">
        <v>22</v>
      </c>
      <c r="C80" s="26">
        <v>13</v>
      </c>
      <c r="D80" s="27">
        <v>0.02</v>
      </c>
      <c r="E80" s="33">
        <v>3.0540000000000001E-2</v>
      </c>
      <c r="F80" s="28">
        <v>10000</v>
      </c>
      <c r="G80" s="29">
        <f t="shared" si="17"/>
        <v>1.2682417945625453</v>
      </c>
      <c r="H80" s="31">
        <f t="shared" si="19"/>
        <v>12682.417945625453</v>
      </c>
      <c r="I80" s="29">
        <f t="shared" si="18"/>
        <v>1.4347566320589649</v>
      </c>
      <c r="J80" s="32">
        <f t="shared" si="20"/>
        <v>8839.421029492225</v>
      </c>
      <c r="N80" s="7"/>
      <c r="O80" s="5"/>
    </row>
    <row r="81" spans="1:15" x14ac:dyDescent="0.25">
      <c r="A81" s="24">
        <v>2029</v>
      </c>
      <c r="B81" s="26" t="s">
        <v>23</v>
      </c>
      <c r="C81" s="26">
        <v>14</v>
      </c>
      <c r="D81" s="27">
        <v>0.02</v>
      </c>
      <c r="E81" s="33">
        <v>3.1E-2</v>
      </c>
      <c r="F81" s="28">
        <v>10000</v>
      </c>
      <c r="G81" s="29">
        <f t="shared" si="17"/>
        <v>1.2936066304537961</v>
      </c>
      <c r="H81" s="31">
        <f t="shared" si="19"/>
        <v>12936.066304537961</v>
      </c>
      <c r="I81" s="29">
        <f t="shared" si="18"/>
        <v>1.4871769605171099</v>
      </c>
      <c r="J81" s="32">
        <f t="shared" si="20"/>
        <v>8698.4041899357617</v>
      </c>
      <c r="N81" s="7"/>
      <c r="O81" s="5"/>
    </row>
    <row r="82" spans="1:15" x14ac:dyDescent="0.25">
      <c r="A82" s="24">
        <v>2030</v>
      </c>
      <c r="B82" s="26" t="s">
        <v>24</v>
      </c>
      <c r="C82" s="26">
        <v>15</v>
      </c>
      <c r="D82" s="27">
        <v>0.02</v>
      </c>
      <c r="E82" s="33">
        <v>3.1980000000000001E-2</v>
      </c>
      <c r="F82" s="28">
        <v>10000</v>
      </c>
      <c r="G82" s="29">
        <f t="shared" si="17"/>
        <v>1.3194787630628722</v>
      </c>
      <c r="H82" s="31">
        <f t="shared" si="19"/>
        <v>13194.787630628722</v>
      </c>
      <c r="I82" s="29">
        <f t="shared" si="18"/>
        <v>1.5538100606365834</v>
      </c>
      <c r="J82" s="32">
        <f t="shared" si="20"/>
        <v>8491.8922620586745</v>
      </c>
      <c r="N82" s="7"/>
      <c r="O82" s="5"/>
    </row>
    <row r="83" spans="1:15" x14ac:dyDescent="0.25">
      <c r="A83" s="24">
        <v>2031</v>
      </c>
      <c r="B83" s="26" t="s">
        <v>25</v>
      </c>
      <c r="C83" s="26">
        <v>16</v>
      </c>
      <c r="D83" s="27">
        <v>0.02</v>
      </c>
      <c r="E83" s="33">
        <v>3.1980000000000001E-2</v>
      </c>
      <c r="F83" s="28">
        <v>10000</v>
      </c>
      <c r="G83" s="29">
        <f t="shared" si="17"/>
        <v>1.3458683383241292</v>
      </c>
      <c r="H83" s="31">
        <f t="shared" si="19"/>
        <v>13458.683383241292</v>
      </c>
      <c r="I83" s="29">
        <f t="shared" si="18"/>
        <v>1.6035009063757411</v>
      </c>
      <c r="J83" s="32">
        <f t="shared" si="20"/>
        <v>8393.3119898639961</v>
      </c>
      <c r="N83" s="7"/>
      <c r="O83" s="5"/>
    </row>
    <row r="84" spans="1:15" x14ac:dyDescent="0.25">
      <c r="A84" s="24">
        <v>2032</v>
      </c>
      <c r="B84" s="26" t="s">
        <v>26</v>
      </c>
      <c r="C84" s="26">
        <v>17</v>
      </c>
      <c r="D84" s="27">
        <v>0.02</v>
      </c>
      <c r="E84" s="33">
        <v>3.1980000000000001E-2</v>
      </c>
      <c r="F84" s="28">
        <v>10000</v>
      </c>
      <c r="G84" s="29">
        <f t="shared" si="17"/>
        <v>1.372785705090612</v>
      </c>
      <c r="H84" s="31">
        <f t="shared" si="19"/>
        <v>13727.857050906121</v>
      </c>
      <c r="I84" s="29">
        <f t="shared" si="18"/>
        <v>1.6547808653616372</v>
      </c>
      <c r="J84" s="32">
        <f t="shared" si="20"/>
        <v>8295.8761116119294</v>
      </c>
      <c r="N84" s="7"/>
      <c r="O84" s="5"/>
    </row>
    <row r="85" spans="1:15" x14ac:dyDescent="0.25">
      <c r="A85" s="24">
        <v>2033</v>
      </c>
      <c r="B85" s="26" t="s">
        <v>27</v>
      </c>
      <c r="C85" s="26">
        <v>18</v>
      </c>
      <c r="D85" s="27">
        <v>0.02</v>
      </c>
      <c r="E85" s="33">
        <v>3.1980000000000001E-2</v>
      </c>
      <c r="F85" s="28">
        <v>10000</v>
      </c>
      <c r="G85" s="29">
        <f t="shared" si="17"/>
        <v>1.4002414191924244</v>
      </c>
      <c r="H85" s="31">
        <f t="shared" si="19"/>
        <v>14002.414191924245</v>
      </c>
      <c r="I85" s="29">
        <f t="shared" si="18"/>
        <v>1.7077007574359022</v>
      </c>
      <c r="J85" s="32">
        <f t="shared" si="20"/>
        <v>8199.5713423168745</v>
      </c>
      <c r="N85" s="7"/>
      <c r="O85" s="5"/>
    </row>
    <row r="86" spans="1:15" x14ac:dyDescent="0.25">
      <c r="A86" s="24">
        <v>2034</v>
      </c>
      <c r="B86" s="26" t="s">
        <v>28</v>
      </c>
      <c r="C86" s="26">
        <v>19</v>
      </c>
      <c r="D86" s="27">
        <v>0.02</v>
      </c>
      <c r="E86" s="33">
        <v>3.3669999999999999E-2</v>
      </c>
      <c r="F86" s="28">
        <v>10000</v>
      </c>
      <c r="G86" s="29">
        <f t="shared" si="17"/>
        <v>1.4282462475762727</v>
      </c>
      <c r="H86" s="31">
        <f t="shared" si="19"/>
        <v>14282.462475762728</v>
      </c>
      <c r="I86" s="29">
        <f t="shared" si="18"/>
        <v>1.8149907509376895</v>
      </c>
      <c r="J86" s="32">
        <f t="shared" si="20"/>
        <v>7869.1654314953912</v>
      </c>
      <c r="N86" s="7"/>
      <c r="O86" s="5"/>
    </row>
    <row r="87" spans="1:15" x14ac:dyDescent="0.25">
      <c r="A87" s="24">
        <v>2035</v>
      </c>
      <c r="B87" s="26" t="s">
        <v>29</v>
      </c>
      <c r="C87" s="26">
        <v>20</v>
      </c>
      <c r="D87" s="27">
        <v>0.02</v>
      </c>
      <c r="E87" s="33">
        <v>3.4200000000000001E-2</v>
      </c>
      <c r="F87" s="28">
        <v>10000</v>
      </c>
      <c r="G87" s="29">
        <f t="shared" si="17"/>
        <v>1.4568111725277981</v>
      </c>
      <c r="H87" s="31">
        <f t="shared" si="19"/>
        <v>14568.11172527798</v>
      </c>
      <c r="I87" s="29">
        <f t="shared" si="18"/>
        <v>1.8944630332534185</v>
      </c>
      <c r="J87" s="32">
        <f t="shared" si="20"/>
        <v>7689.836892863369</v>
      </c>
      <c r="N87" s="7"/>
      <c r="O87" s="5"/>
    </row>
    <row r="88" spans="1:15" x14ac:dyDescent="0.25">
      <c r="A88" s="24">
        <v>2036</v>
      </c>
      <c r="B88" s="26" t="s">
        <v>30</v>
      </c>
      <c r="C88" s="26">
        <v>21</v>
      </c>
      <c r="D88" s="27">
        <v>0.02</v>
      </c>
      <c r="E88" s="33">
        <v>3.4799999999999998E-2</v>
      </c>
      <c r="F88" s="28">
        <v>10000</v>
      </c>
      <c r="G88" s="29">
        <f t="shared" si="17"/>
        <v>1.4859473959783542</v>
      </c>
      <c r="H88" s="31">
        <f t="shared" si="19"/>
        <v>14859.473959783543</v>
      </c>
      <c r="I88" s="29">
        <f t="shared" si="18"/>
        <v>1.9821129587602895</v>
      </c>
      <c r="J88" s="32">
        <f t="shared" si="20"/>
        <v>7496.784627793053</v>
      </c>
      <c r="N88" s="7"/>
      <c r="O88" s="5"/>
    </row>
    <row r="89" spans="1:15" x14ac:dyDescent="0.25">
      <c r="A89" s="24">
        <v>2037</v>
      </c>
      <c r="B89" s="26" t="s">
        <v>31</v>
      </c>
      <c r="C89" s="26">
        <v>22</v>
      </c>
      <c r="D89" s="27">
        <v>0.02</v>
      </c>
      <c r="E89" s="33">
        <v>3.5000000000000003E-2</v>
      </c>
      <c r="F89" s="28">
        <v>10000</v>
      </c>
      <c r="G89" s="29">
        <f t="shared" si="17"/>
        <v>1.5156663438979212</v>
      </c>
      <c r="H89" s="31">
        <f t="shared" si="19"/>
        <v>15156.663438979213</v>
      </c>
      <c r="I89" s="29">
        <f t="shared" si="18"/>
        <v>2.0594314736871469</v>
      </c>
      <c r="J89" s="32">
        <f t="shared" si="20"/>
        <v>7359.6347499939675</v>
      </c>
      <c r="N89" s="7"/>
      <c r="O89" s="5"/>
    </row>
    <row r="90" spans="1:15" x14ac:dyDescent="0.25">
      <c r="A90" s="24">
        <v>2038</v>
      </c>
      <c r="B90" s="26" t="s">
        <v>32</v>
      </c>
      <c r="C90" s="26">
        <v>23</v>
      </c>
      <c r="D90" s="27">
        <v>0.02</v>
      </c>
      <c r="E90" s="33">
        <v>3.5049999999999998E-2</v>
      </c>
      <c r="F90" s="28">
        <v>10000</v>
      </c>
      <c r="G90" s="29">
        <f t="shared" si="17"/>
        <v>1.5459796707758797</v>
      </c>
      <c r="H90" s="31">
        <f t="shared" si="19"/>
        <v>15459.796707758796</v>
      </c>
      <c r="I90" s="29">
        <f t="shared" si="18"/>
        <v>2.1337780993604949</v>
      </c>
      <c r="J90" s="32">
        <f t="shared" si="20"/>
        <v>7245.2691835164032</v>
      </c>
      <c r="N90" s="7"/>
      <c r="O90" s="5"/>
    </row>
    <row r="91" spans="1:15" x14ac:dyDescent="0.25">
      <c r="A91" s="24">
        <v>2039</v>
      </c>
      <c r="B91" s="26" t="s">
        <v>33</v>
      </c>
      <c r="C91" s="26">
        <v>24</v>
      </c>
      <c r="D91" s="27">
        <v>0.02</v>
      </c>
      <c r="E91" s="33">
        <v>3.5099999999999999E-2</v>
      </c>
      <c r="F91" s="28">
        <v>10000</v>
      </c>
      <c r="G91" s="29">
        <f t="shared" si="17"/>
        <v>1.576899264191397</v>
      </c>
      <c r="H91" s="31">
        <f t="shared" si="19"/>
        <v>15768.99264191397</v>
      </c>
      <c r="I91" s="29">
        <f t="shared" si="18"/>
        <v>2.2110221709108755</v>
      </c>
      <c r="J91" s="32">
        <f t="shared" si="20"/>
        <v>7131.992093691948</v>
      </c>
      <c r="N91" s="7"/>
      <c r="O91" s="5"/>
    </row>
    <row r="92" spans="1:15" x14ac:dyDescent="0.25">
      <c r="A92" s="24">
        <v>2040</v>
      </c>
      <c r="B92" s="26" t="s">
        <v>34</v>
      </c>
      <c r="C92" s="26">
        <v>25</v>
      </c>
      <c r="D92" s="27">
        <v>0.02</v>
      </c>
      <c r="E92" s="33">
        <v>3.5099999999999999E-2</v>
      </c>
      <c r="F92" s="28">
        <v>10000</v>
      </c>
      <c r="G92" s="29">
        <f t="shared" si="17"/>
        <v>1.608437249475225</v>
      </c>
      <c r="H92" s="31">
        <f t="shared" si="19"/>
        <v>16084.37249475225</v>
      </c>
      <c r="I92" s="29">
        <f t="shared" si="18"/>
        <v>2.2886290491098471</v>
      </c>
      <c r="J92" s="32">
        <f t="shared" si="20"/>
        <v>7027.9508603669083</v>
      </c>
      <c r="N92" s="7"/>
      <c r="O92" s="5"/>
    </row>
    <row r="93" spans="1:15" x14ac:dyDescent="0.25">
      <c r="A93" s="24">
        <v>2041</v>
      </c>
      <c r="B93" s="26" t="s">
        <v>100</v>
      </c>
      <c r="C93" s="26">
        <v>26</v>
      </c>
      <c r="D93" s="27">
        <v>0.02</v>
      </c>
      <c r="E93" s="33">
        <v>3.5099999999999999E-2</v>
      </c>
      <c r="F93" s="28">
        <v>10000</v>
      </c>
      <c r="G93" s="29">
        <f t="shared" ref="G93:G101" si="21">(1+D93)^(C93-$C$68)</f>
        <v>1.6406059944647295</v>
      </c>
      <c r="H93" s="31">
        <f t="shared" ref="H93:H101" si="22">F93*((1+D93)^(C93-$C$68))</f>
        <v>16406.059944647295</v>
      </c>
      <c r="I93" s="29">
        <f t="shared" ref="I93:I101" si="23">(1+E93)^(C93-$C$68)</f>
        <v>2.3689599287336027</v>
      </c>
      <c r="J93" s="32">
        <f t="shared" ref="J93:J101" si="24">H93/I93</f>
        <v>6925.4273766537017</v>
      </c>
      <c r="N93" s="7"/>
      <c r="O93" s="5"/>
    </row>
    <row r="94" spans="1:15" x14ac:dyDescent="0.25">
      <c r="A94" s="24">
        <v>2042</v>
      </c>
      <c r="B94" s="26" t="s">
        <v>101</v>
      </c>
      <c r="C94" s="26">
        <v>27</v>
      </c>
      <c r="D94" s="27">
        <v>0.02</v>
      </c>
      <c r="E94" s="33">
        <v>3.5099999999999999E-2</v>
      </c>
      <c r="F94" s="28">
        <v>10000</v>
      </c>
      <c r="G94" s="29">
        <f t="shared" si="21"/>
        <v>1.6734181143540243</v>
      </c>
      <c r="H94" s="31">
        <f t="shared" si="22"/>
        <v>16734.181143540241</v>
      </c>
      <c r="I94" s="29">
        <f t="shared" si="23"/>
        <v>2.4521104222321521</v>
      </c>
      <c r="J94" s="32">
        <f t="shared" si="24"/>
        <v>6824.3995016778827</v>
      </c>
      <c r="N94" s="7"/>
      <c r="O94" s="5"/>
    </row>
    <row r="95" spans="1:15" x14ac:dyDescent="0.25">
      <c r="A95" s="24">
        <v>2043</v>
      </c>
      <c r="B95" s="26" t="s">
        <v>102</v>
      </c>
      <c r="C95" s="26">
        <v>28</v>
      </c>
      <c r="D95" s="27">
        <v>0.02</v>
      </c>
      <c r="E95" s="33">
        <v>3.5099999999999999E-2</v>
      </c>
      <c r="F95" s="28">
        <v>10000</v>
      </c>
      <c r="G95" s="29">
        <f t="shared" si="21"/>
        <v>1.7068864766411045</v>
      </c>
      <c r="H95" s="31">
        <f t="shared" si="22"/>
        <v>17068.864766411043</v>
      </c>
      <c r="I95" s="29">
        <f t="shared" si="23"/>
        <v>2.5381794980525001</v>
      </c>
      <c r="J95" s="32">
        <f t="shared" si="24"/>
        <v>6724.8454175552515</v>
      </c>
      <c r="N95" s="7"/>
      <c r="O95" s="5"/>
    </row>
    <row r="96" spans="1:15" x14ac:dyDescent="0.25">
      <c r="A96" s="24">
        <v>2044</v>
      </c>
      <c r="B96" s="26" t="s">
        <v>103</v>
      </c>
      <c r="C96" s="26">
        <v>29</v>
      </c>
      <c r="D96" s="27">
        <v>0.02</v>
      </c>
      <c r="E96" s="33">
        <v>3.5099999999999999E-2</v>
      </c>
      <c r="F96" s="28">
        <v>10000</v>
      </c>
      <c r="G96" s="29">
        <f t="shared" si="21"/>
        <v>1.7410242061739269</v>
      </c>
      <c r="H96" s="31">
        <f t="shared" si="22"/>
        <v>17410.242061739271</v>
      </c>
      <c r="I96" s="29">
        <f t="shared" si="23"/>
        <v>2.6272695984341432</v>
      </c>
      <c r="J96" s="32">
        <f t="shared" si="24"/>
        <v>6626.7436246800871</v>
      </c>
      <c r="N96" s="7"/>
      <c r="O96" s="5"/>
    </row>
    <row r="97" spans="1:15" x14ac:dyDescent="0.25">
      <c r="A97" s="24">
        <v>2045</v>
      </c>
      <c r="B97" s="26" t="s">
        <v>104</v>
      </c>
      <c r="C97" s="26">
        <v>30</v>
      </c>
      <c r="D97" s="27">
        <v>0.02</v>
      </c>
      <c r="E97" s="33">
        <v>3.5099999999999999E-2</v>
      </c>
      <c r="F97" s="28">
        <v>10000</v>
      </c>
      <c r="G97" s="29">
        <f t="shared" si="21"/>
        <v>1.7758446902974052</v>
      </c>
      <c r="H97" s="31">
        <f t="shared" si="22"/>
        <v>17758.446902974054</v>
      </c>
      <c r="I97" s="29">
        <f t="shared" si="23"/>
        <v>2.7194867613391813</v>
      </c>
      <c r="J97" s="32">
        <f t="shared" si="24"/>
        <v>6530.0729370821064</v>
      </c>
      <c r="N97" s="7"/>
      <c r="O97" s="5"/>
    </row>
    <row r="98" spans="1:15" x14ac:dyDescent="0.25">
      <c r="A98" s="24">
        <v>2046</v>
      </c>
      <c r="B98" s="26" t="s">
        <v>105</v>
      </c>
      <c r="C98" s="26">
        <v>31</v>
      </c>
      <c r="D98" s="27">
        <v>0.02</v>
      </c>
      <c r="E98" s="33">
        <v>3.5099999999999999E-2</v>
      </c>
      <c r="F98" s="28">
        <v>10000</v>
      </c>
      <c r="G98" s="29">
        <f t="shared" si="21"/>
        <v>1.8113615841033535</v>
      </c>
      <c r="H98" s="31">
        <f t="shared" si="22"/>
        <v>18113.615841033534</v>
      </c>
      <c r="I98" s="29">
        <f t="shared" si="23"/>
        <v>2.8149407466621863</v>
      </c>
      <c r="J98" s="32">
        <f t="shared" si="24"/>
        <v>6434.8124778511728</v>
      </c>
      <c r="N98" s="7"/>
      <c r="O98" s="5"/>
    </row>
    <row r="99" spans="1:15" x14ac:dyDescent="0.25">
      <c r="A99" s="24">
        <v>2047</v>
      </c>
      <c r="B99" s="26" t="s">
        <v>106</v>
      </c>
      <c r="C99" s="26">
        <v>32</v>
      </c>
      <c r="D99" s="27">
        <v>0.02</v>
      </c>
      <c r="E99" s="33">
        <v>3.5099999999999999E-2</v>
      </c>
      <c r="F99" s="28">
        <v>10000</v>
      </c>
      <c r="G99" s="29">
        <f t="shared" si="21"/>
        <v>1.8475888157854201</v>
      </c>
      <c r="H99" s="31">
        <f t="shared" si="22"/>
        <v>18475.888157854202</v>
      </c>
      <c r="I99" s="29">
        <f t="shared" si="23"/>
        <v>2.9137451668700289</v>
      </c>
      <c r="J99" s="32">
        <f t="shared" si="24"/>
        <v>6340.9416746287279</v>
      </c>
      <c r="N99" s="7"/>
      <c r="O99" s="5"/>
    </row>
    <row r="100" spans="1:15" x14ac:dyDescent="0.25">
      <c r="A100" s="24">
        <v>2048</v>
      </c>
      <c r="B100" s="26" t="s">
        <v>107</v>
      </c>
      <c r="C100" s="26">
        <v>33</v>
      </c>
      <c r="D100" s="27">
        <v>0.02</v>
      </c>
      <c r="E100" s="33">
        <v>3.5099999999999999E-2</v>
      </c>
      <c r="F100" s="28">
        <v>10000</v>
      </c>
      <c r="G100" s="29">
        <f t="shared" si="21"/>
        <v>1.8845405921011289</v>
      </c>
      <c r="H100" s="31">
        <f t="shared" si="22"/>
        <v>18845.40592101129</v>
      </c>
      <c r="I100" s="29">
        <f t="shared" si="23"/>
        <v>3.0160176222271669</v>
      </c>
      <c r="J100" s="32">
        <f t="shared" si="24"/>
        <v>6248.4402551650119</v>
      </c>
      <c r="N100" s="7"/>
      <c r="O100" s="5"/>
    </row>
    <row r="101" spans="1:15" x14ac:dyDescent="0.25">
      <c r="A101" s="24">
        <v>2049</v>
      </c>
      <c r="B101" s="26" t="s">
        <v>108</v>
      </c>
      <c r="C101" s="26">
        <v>34</v>
      </c>
      <c r="D101" s="27">
        <v>0.02</v>
      </c>
      <c r="E101" s="33">
        <v>3.5099999999999999E-2</v>
      </c>
      <c r="F101" s="28">
        <v>10000</v>
      </c>
      <c r="G101" s="29">
        <f t="shared" si="21"/>
        <v>1.9222314039431516</v>
      </c>
      <c r="H101" s="31">
        <f t="shared" si="22"/>
        <v>19222.314039431516</v>
      </c>
      <c r="I101" s="29">
        <f t="shared" si="23"/>
        <v>3.12187984076734</v>
      </c>
      <c r="J101" s="32">
        <f t="shared" si="24"/>
        <v>6157.2882429410811</v>
      </c>
      <c r="N101" s="7"/>
      <c r="O101" s="5"/>
    </row>
    <row r="102" spans="1:15" ht="15.75" thickBot="1" x14ac:dyDescent="0.3">
      <c r="A102" s="15">
        <v>2050</v>
      </c>
      <c r="B102" s="16" t="s">
        <v>109</v>
      </c>
      <c r="C102" s="16">
        <v>35</v>
      </c>
      <c r="D102" s="34">
        <v>0.02</v>
      </c>
      <c r="E102" s="35">
        <v>3.5099999999999999E-2</v>
      </c>
      <c r="F102" s="36">
        <v>10000</v>
      </c>
      <c r="G102" s="37">
        <f t="shared" ref="G102" si="25">(1+D102)^(C102-$C$68)</f>
        <v>1.9606760320220145</v>
      </c>
      <c r="H102" s="38">
        <f t="shared" ref="H102" si="26">F102*((1+D102)^(C102-$C$68))</f>
        <v>19606.760320220146</v>
      </c>
      <c r="I102" s="37">
        <f t="shared" ref="I102" si="27">(1+E102)^(C102-$C$68)</f>
        <v>3.2314578231782738</v>
      </c>
      <c r="J102" s="39">
        <f t="shared" ref="J102" si="28">H102/I102</f>
        <v>6067.4659528547018</v>
      </c>
      <c r="N102" s="7"/>
      <c r="O102" s="5"/>
    </row>
    <row r="103" spans="1:15" ht="15.75" thickBot="1" x14ac:dyDescent="0.3"/>
    <row r="104" spans="1:15" x14ac:dyDescent="0.25">
      <c r="A104" s="54"/>
      <c r="B104" s="96" t="s">
        <v>64</v>
      </c>
      <c r="C104" s="97"/>
      <c r="D104" s="97"/>
      <c r="E104" s="97"/>
      <c r="F104" s="97"/>
      <c r="G104" s="97"/>
      <c r="H104" s="97"/>
      <c r="I104" s="97"/>
      <c r="J104" s="98"/>
    </row>
    <row r="105" spans="1:15" ht="60.75" thickBot="1" x14ac:dyDescent="0.3">
      <c r="A105" s="55"/>
      <c r="B105" s="56"/>
      <c r="C105" s="57"/>
      <c r="D105" s="58" t="s">
        <v>40</v>
      </c>
      <c r="E105" s="58" t="s">
        <v>47</v>
      </c>
      <c r="F105" s="58" t="s">
        <v>39</v>
      </c>
      <c r="G105" s="58" t="s">
        <v>44</v>
      </c>
      <c r="H105" s="59" t="s">
        <v>41</v>
      </c>
      <c r="I105" s="59" t="s">
        <v>43</v>
      </c>
      <c r="J105" s="60" t="s">
        <v>42</v>
      </c>
    </row>
    <row r="106" spans="1:15" ht="15.75" thickBot="1" x14ac:dyDescent="0.3">
      <c r="A106" s="17"/>
      <c r="B106" s="9" t="s">
        <v>51</v>
      </c>
      <c r="C106" s="10"/>
      <c r="D106" s="11"/>
      <c r="E106" s="11"/>
      <c r="F106" s="11"/>
      <c r="G106" s="11"/>
      <c r="H106" s="12"/>
      <c r="I106" s="12"/>
      <c r="J106" s="18">
        <f>SUM(J107:J141)</f>
        <v>487931.39395906113</v>
      </c>
    </row>
    <row r="107" spans="1:15" hidden="1" x14ac:dyDescent="0.25">
      <c r="A107" s="13">
        <v>2016</v>
      </c>
      <c r="B107" s="14" t="s">
        <v>10</v>
      </c>
      <c r="C107" s="14">
        <v>1</v>
      </c>
      <c r="D107" s="20">
        <v>0.02</v>
      </c>
      <c r="E107" s="40">
        <v>0</v>
      </c>
      <c r="F107" s="21">
        <v>0</v>
      </c>
      <c r="G107" s="22">
        <f t="shared" ref="G107" si="29">(1+D107)^(C107-$C$68)</f>
        <v>1</v>
      </c>
      <c r="H107" s="14"/>
      <c r="I107" s="22">
        <f>(1+E109)^(C107-$C$68)</f>
        <v>1</v>
      </c>
      <c r="J107" s="23"/>
    </row>
    <row r="108" spans="1:15" x14ac:dyDescent="0.25">
      <c r="A108" s="13">
        <v>2017</v>
      </c>
      <c r="B108" s="41" t="s">
        <v>11</v>
      </c>
      <c r="C108" s="14">
        <v>2</v>
      </c>
      <c r="D108" s="20">
        <v>0.02</v>
      </c>
      <c r="E108" s="40">
        <v>0</v>
      </c>
      <c r="F108" s="21">
        <v>0</v>
      </c>
      <c r="G108" s="22">
        <f t="shared" ref="G108:G110" si="30">(1+D108)^(C108-$C$108)</f>
        <v>1</v>
      </c>
      <c r="H108" s="14"/>
      <c r="I108" s="22">
        <f>(1+E109)^(C108-$C$108)</f>
        <v>1</v>
      </c>
      <c r="J108" s="23"/>
    </row>
    <row r="109" spans="1:15" x14ac:dyDescent="0.25">
      <c r="A109" s="24">
        <v>2018</v>
      </c>
      <c r="B109" s="25" t="s">
        <v>12</v>
      </c>
      <c r="C109" s="26">
        <v>3</v>
      </c>
      <c r="D109" s="27">
        <v>0.02</v>
      </c>
      <c r="E109" s="33">
        <v>1.8450000000000001E-2</v>
      </c>
      <c r="F109" s="28">
        <v>0</v>
      </c>
      <c r="G109" s="29">
        <f t="shared" si="30"/>
        <v>1.02</v>
      </c>
      <c r="H109" s="26"/>
      <c r="I109" s="29">
        <f t="shared" ref="I109:I110" si="31">(1+E109)^(C109-$C$108)</f>
        <v>1.0184500000000001</v>
      </c>
      <c r="J109" s="30"/>
      <c r="N109" s="7"/>
      <c r="O109" s="5"/>
    </row>
    <row r="110" spans="1:15" x14ac:dyDescent="0.25">
      <c r="A110" s="24">
        <v>2019</v>
      </c>
      <c r="B110" s="26" t="s">
        <v>13</v>
      </c>
      <c r="C110" s="26">
        <v>4</v>
      </c>
      <c r="D110" s="27">
        <v>0.02</v>
      </c>
      <c r="E110" s="33">
        <v>1.9199999999999998E-2</v>
      </c>
      <c r="F110" s="28">
        <v>0</v>
      </c>
      <c r="G110" s="29">
        <f t="shared" si="30"/>
        <v>1.0404</v>
      </c>
      <c r="H110" s="26"/>
      <c r="I110" s="29">
        <f t="shared" si="31"/>
        <v>1.0387686400000002</v>
      </c>
      <c r="J110" s="30"/>
      <c r="N110" s="7"/>
      <c r="O110" s="5"/>
    </row>
    <row r="111" spans="1:15" x14ac:dyDescent="0.25">
      <c r="A111" s="24">
        <v>2020</v>
      </c>
      <c r="B111" s="26" t="s">
        <v>14</v>
      </c>
      <c r="C111" s="26">
        <v>5</v>
      </c>
      <c r="D111" s="27">
        <v>0.02</v>
      </c>
      <c r="E111" s="33">
        <v>1.9789999999999999E-2</v>
      </c>
      <c r="F111" s="28">
        <v>250000</v>
      </c>
      <c r="G111" s="29">
        <f>(1+D111)^(C111-$C$108)</f>
        <v>1.0612079999999999</v>
      </c>
      <c r="H111" s="31">
        <f>F111*((1+D111)^(C111-$C$108))</f>
        <v>265302</v>
      </c>
      <c r="I111" s="29">
        <f>(1+E111)^(C111-$C$108)</f>
        <v>1.0605526829367389</v>
      </c>
      <c r="J111" s="32">
        <f>H111/I111</f>
        <v>250154.47536784466</v>
      </c>
      <c r="N111" s="7"/>
      <c r="O111" s="5"/>
    </row>
    <row r="112" spans="1:15" x14ac:dyDescent="0.25">
      <c r="A112" s="24">
        <v>2021</v>
      </c>
      <c r="B112" s="26" t="s">
        <v>15</v>
      </c>
      <c r="C112" s="26">
        <v>6</v>
      </c>
      <c r="D112" s="27">
        <v>0.02</v>
      </c>
      <c r="E112" s="33">
        <v>2.0119999999999999E-2</v>
      </c>
      <c r="F112" s="28">
        <v>10000</v>
      </c>
      <c r="G112" s="29">
        <f>(1+D112)^(C112-$C$108)</f>
        <v>1.08243216</v>
      </c>
      <c r="H112" s="31">
        <f t="shared" ref="H112:H131" si="32">F112*((1+D112)^(C112-$C$108))</f>
        <v>10824.321599999999</v>
      </c>
      <c r="I112" s="29">
        <f t="shared" ref="I112:I131" si="33">(1+E112)^(C112-$C$108)</f>
        <v>1.08294162973761</v>
      </c>
      <c r="J112" s="32">
        <f t="shared" ref="J112:J131" si="34">H112/I112</f>
        <v>9995.2955014045074</v>
      </c>
      <c r="N112" s="7"/>
      <c r="O112" s="5"/>
    </row>
    <row r="113" spans="1:15" x14ac:dyDescent="0.25">
      <c r="A113" s="24">
        <v>2022</v>
      </c>
      <c r="B113" s="26" t="s">
        <v>16</v>
      </c>
      <c r="C113" s="26">
        <v>7</v>
      </c>
      <c r="D113" s="27">
        <v>0.02</v>
      </c>
      <c r="E113" s="33">
        <v>2.197E-2</v>
      </c>
      <c r="F113" s="28">
        <v>10000</v>
      </c>
      <c r="G113" s="29">
        <f t="shared" ref="G113:G131" si="35">(1+D113)^(C113-$C$108)</f>
        <v>1.1040808032</v>
      </c>
      <c r="H113" s="31">
        <f t="shared" si="32"/>
        <v>11040.808032000001</v>
      </c>
      <c r="I113" s="29">
        <f t="shared" si="33"/>
        <v>1.1147840240165758</v>
      </c>
      <c r="J113" s="32">
        <f t="shared" si="34"/>
        <v>9903.9883907017975</v>
      </c>
      <c r="N113" s="7"/>
      <c r="O113" s="5"/>
    </row>
    <row r="114" spans="1:15" x14ac:dyDescent="0.25">
      <c r="A114" s="24">
        <v>2023</v>
      </c>
      <c r="B114" s="26" t="s">
        <v>17</v>
      </c>
      <c r="C114" s="26">
        <v>8</v>
      </c>
      <c r="D114" s="27">
        <v>0.02</v>
      </c>
      <c r="E114" s="33">
        <v>2.383E-2</v>
      </c>
      <c r="F114" s="28">
        <v>10000</v>
      </c>
      <c r="G114" s="29">
        <f t="shared" si="35"/>
        <v>1.1261624192640001</v>
      </c>
      <c r="H114" s="31">
        <f t="shared" si="32"/>
        <v>11261.62419264</v>
      </c>
      <c r="I114" s="29">
        <f t="shared" si="33"/>
        <v>1.1517735632346653</v>
      </c>
      <c r="J114" s="32">
        <f t="shared" si="34"/>
        <v>9777.6373343842133</v>
      </c>
      <c r="N114" s="7"/>
      <c r="O114" s="5"/>
    </row>
    <row r="115" spans="1:15" x14ac:dyDescent="0.25">
      <c r="A115" s="24">
        <v>2024</v>
      </c>
      <c r="B115" s="26" t="s">
        <v>18</v>
      </c>
      <c r="C115" s="26">
        <v>9</v>
      </c>
      <c r="D115" s="27">
        <v>0.02</v>
      </c>
      <c r="E115" s="33">
        <v>2.547E-2</v>
      </c>
      <c r="F115" s="28">
        <v>10000</v>
      </c>
      <c r="G115" s="29">
        <f t="shared" si="35"/>
        <v>1.1486856676492798</v>
      </c>
      <c r="H115" s="31">
        <f t="shared" si="32"/>
        <v>11486.856676492798</v>
      </c>
      <c r="I115" s="29">
        <f t="shared" si="33"/>
        <v>1.1925063975165731</v>
      </c>
      <c r="J115" s="32">
        <f t="shared" si="34"/>
        <v>9632.5325385377291</v>
      </c>
      <c r="N115" s="7"/>
      <c r="O115" s="5"/>
    </row>
    <row r="116" spans="1:15" x14ac:dyDescent="0.25">
      <c r="A116" s="24">
        <v>2025</v>
      </c>
      <c r="B116" s="26" t="s">
        <v>19</v>
      </c>
      <c r="C116" s="26">
        <v>10</v>
      </c>
      <c r="D116" s="27">
        <v>0.02</v>
      </c>
      <c r="E116" s="33">
        <v>2.6919999999999999E-2</v>
      </c>
      <c r="F116" s="28">
        <v>10000</v>
      </c>
      <c r="G116" s="29">
        <f t="shared" si="35"/>
        <v>1.1716593810022655</v>
      </c>
      <c r="H116" s="31">
        <f t="shared" si="32"/>
        <v>11716.593810022656</v>
      </c>
      <c r="I116" s="29">
        <f t="shared" si="33"/>
        <v>1.2367812628116466</v>
      </c>
      <c r="J116" s="32">
        <f t="shared" si="34"/>
        <v>9473.4567561176045</v>
      </c>
      <c r="N116" s="7"/>
      <c r="O116" s="5"/>
    </row>
    <row r="117" spans="1:15" x14ac:dyDescent="0.25">
      <c r="A117" s="24">
        <v>2026</v>
      </c>
      <c r="B117" s="26" t="s">
        <v>20</v>
      </c>
      <c r="C117" s="26">
        <v>11</v>
      </c>
      <c r="D117" s="27">
        <v>0.02</v>
      </c>
      <c r="E117" s="33">
        <v>2.8379999999999999E-2</v>
      </c>
      <c r="F117" s="28">
        <v>10000</v>
      </c>
      <c r="G117" s="29">
        <f t="shared" si="35"/>
        <v>1.1950925686223108</v>
      </c>
      <c r="H117" s="31">
        <f t="shared" si="32"/>
        <v>11950.925686223109</v>
      </c>
      <c r="I117" s="29">
        <f t="shared" si="33"/>
        <v>1.2864194471321551</v>
      </c>
      <c r="J117" s="32">
        <f t="shared" si="34"/>
        <v>9290.0692016632565</v>
      </c>
      <c r="N117" s="7"/>
      <c r="O117" s="5"/>
    </row>
    <row r="118" spans="1:15" x14ac:dyDescent="0.25">
      <c r="A118" s="24">
        <v>2027</v>
      </c>
      <c r="B118" s="26" t="s">
        <v>21</v>
      </c>
      <c r="C118" s="26">
        <v>12</v>
      </c>
      <c r="D118" s="27">
        <v>0.02</v>
      </c>
      <c r="E118" s="33">
        <v>2.9250000000000002E-2</v>
      </c>
      <c r="F118" s="28">
        <v>10000</v>
      </c>
      <c r="G118" s="29">
        <f t="shared" si="35"/>
        <v>1.2189944199947571</v>
      </c>
      <c r="H118" s="31">
        <f t="shared" si="32"/>
        <v>12189.944199947571</v>
      </c>
      <c r="I118" s="29">
        <f t="shared" si="33"/>
        <v>1.3341625833999931</v>
      </c>
      <c r="J118" s="32">
        <f t="shared" si="34"/>
        <v>9136.7756461004901</v>
      </c>
      <c r="N118" s="7"/>
      <c r="O118" s="5"/>
    </row>
    <row r="119" spans="1:15" x14ac:dyDescent="0.25">
      <c r="A119" s="24">
        <v>2028</v>
      </c>
      <c r="B119" s="26" t="s">
        <v>22</v>
      </c>
      <c r="C119" s="26">
        <v>13</v>
      </c>
      <c r="D119" s="27">
        <v>0.02</v>
      </c>
      <c r="E119" s="33">
        <v>2.9659999999999999E-2</v>
      </c>
      <c r="F119" s="28">
        <v>10000</v>
      </c>
      <c r="G119" s="29">
        <f t="shared" si="35"/>
        <v>1.243374308394652</v>
      </c>
      <c r="H119" s="31">
        <f t="shared" si="32"/>
        <v>12433.74308394652</v>
      </c>
      <c r="I119" s="29">
        <f t="shared" si="33"/>
        <v>1.3792159110038158</v>
      </c>
      <c r="J119" s="32">
        <f t="shared" si="34"/>
        <v>9015.0809490713018</v>
      </c>
      <c r="N119" s="7"/>
      <c r="O119" s="5"/>
    </row>
    <row r="120" spans="1:15" x14ac:dyDescent="0.25">
      <c r="A120" s="24">
        <v>2029</v>
      </c>
      <c r="B120" s="26" t="s">
        <v>23</v>
      </c>
      <c r="C120" s="26">
        <v>14</v>
      </c>
      <c r="D120" s="27">
        <v>0.02</v>
      </c>
      <c r="E120" s="33">
        <v>3.0540000000000001E-2</v>
      </c>
      <c r="F120" s="28">
        <v>10000</v>
      </c>
      <c r="G120" s="29">
        <f t="shared" si="35"/>
        <v>1.2682417945625453</v>
      </c>
      <c r="H120" s="31">
        <f t="shared" si="32"/>
        <v>12682.417945625453</v>
      </c>
      <c r="I120" s="29">
        <f t="shared" si="33"/>
        <v>1.4347566320589649</v>
      </c>
      <c r="J120" s="32">
        <f t="shared" si="34"/>
        <v>8839.421029492225</v>
      </c>
      <c r="N120" s="7"/>
      <c r="O120" s="5"/>
    </row>
    <row r="121" spans="1:15" x14ac:dyDescent="0.25">
      <c r="A121" s="24">
        <v>2030</v>
      </c>
      <c r="B121" s="26" t="s">
        <v>24</v>
      </c>
      <c r="C121" s="26">
        <v>15</v>
      </c>
      <c r="D121" s="27">
        <v>0.02</v>
      </c>
      <c r="E121" s="33">
        <v>3.1E-2</v>
      </c>
      <c r="F121" s="28">
        <v>10000</v>
      </c>
      <c r="G121" s="29">
        <f t="shared" si="35"/>
        <v>1.2936066304537961</v>
      </c>
      <c r="H121" s="31">
        <f t="shared" si="32"/>
        <v>12936.066304537961</v>
      </c>
      <c r="I121" s="29">
        <f t="shared" si="33"/>
        <v>1.4871769605171099</v>
      </c>
      <c r="J121" s="32">
        <f t="shared" si="34"/>
        <v>8698.4041899357617</v>
      </c>
      <c r="N121" s="7"/>
      <c r="O121" s="5"/>
    </row>
    <row r="122" spans="1:15" x14ac:dyDescent="0.25">
      <c r="A122" s="24">
        <v>2031</v>
      </c>
      <c r="B122" s="26" t="s">
        <v>25</v>
      </c>
      <c r="C122" s="26">
        <v>16</v>
      </c>
      <c r="D122" s="27">
        <v>0.02</v>
      </c>
      <c r="E122" s="33">
        <v>3.1980000000000001E-2</v>
      </c>
      <c r="F122" s="28">
        <v>10000</v>
      </c>
      <c r="G122" s="29">
        <f t="shared" si="35"/>
        <v>1.3194787630628722</v>
      </c>
      <c r="H122" s="31">
        <f t="shared" si="32"/>
        <v>13194.787630628722</v>
      </c>
      <c r="I122" s="29">
        <f t="shared" si="33"/>
        <v>1.5538100606365834</v>
      </c>
      <c r="J122" s="32">
        <f t="shared" si="34"/>
        <v>8491.8922620586745</v>
      </c>
      <c r="N122" s="7"/>
      <c r="O122" s="5"/>
    </row>
    <row r="123" spans="1:15" x14ac:dyDescent="0.25">
      <c r="A123" s="24">
        <v>2032</v>
      </c>
      <c r="B123" s="26" t="s">
        <v>26</v>
      </c>
      <c r="C123" s="26">
        <v>17</v>
      </c>
      <c r="D123" s="27">
        <v>0.02</v>
      </c>
      <c r="E123" s="33">
        <v>3.1980000000000001E-2</v>
      </c>
      <c r="F123" s="28">
        <v>10000</v>
      </c>
      <c r="G123" s="29">
        <f t="shared" si="35"/>
        <v>1.3458683383241292</v>
      </c>
      <c r="H123" s="31">
        <f t="shared" si="32"/>
        <v>13458.683383241292</v>
      </c>
      <c r="I123" s="29">
        <f t="shared" si="33"/>
        <v>1.6035009063757411</v>
      </c>
      <c r="J123" s="32">
        <f t="shared" si="34"/>
        <v>8393.3119898639961</v>
      </c>
      <c r="N123" s="7"/>
      <c r="O123" s="5"/>
    </row>
    <row r="124" spans="1:15" x14ac:dyDescent="0.25">
      <c r="A124" s="24">
        <v>2033</v>
      </c>
      <c r="B124" s="26" t="s">
        <v>27</v>
      </c>
      <c r="C124" s="26">
        <v>18</v>
      </c>
      <c r="D124" s="27">
        <v>0.02</v>
      </c>
      <c r="E124" s="33">
        <v>3.1980000000000001E-2</v>
      </c>
      <c r="F124" s="28">
        <v>10000</v>
      </c>
      <c r="G124" s="29">
        <f t="shared" si="35"/>
        <v>1.372785705090612</v>
      </c>
      <c r="H124" s="31">
        <f t="shared" si="32"/>
        <v>13727.857050906121</v>
      </c>
      <c r="I124" s="29">
        <f t="shared" si="33"/>
        <v>1.6547808653616372</v>
      </c>
      <c r="J124" s="32">
        <f t="shared" si="34"/>
        <v>8295.8761116119294</v>
      </c>
      <c r="N124" s="7"/>
      <c r="O124" s="5"/>
    </row>
    <row r="125" spans="1:15" x14ac:dyDescent="0.25">
      <c r="A125" s="24">
        <v>2034</v>
      </c>
      <c r="B125" s="26" t="s">
        <v>28</v>
      </c>
      <c r="C125" s="26">
        <v>19</v>
      </c>
      <c r="D125" s="27">
        <v>0.02</v>
      </c>
      <c r="E125" s="33">
        <v>3.1980000000000001E-2</v>
      </c>
      <c r="F125" s="28">
        <v>10000</v>
      </c>
      <c r="G125" s="29">
        <f t="shared" si="35"/>
        <v>1.4002414191924244</v>
      </c>
      <c r="H125" s="31">
        <f t="shared" si="32"/>
        <v>14002.414191924245</v>
      </c>
      <c r="I125" s="29">
        <f t="shared" si="33"/>
        <v>1.7077007574359022</v>
      </c>
      <c r="J125" s="32">
        <f t="shared" si="34"/>
        <v>8199.5713423168745</v>
      </c>
      <c r="N125" s="7"/>
      <c r="O125" s="5"/>
    </row>
    <row r="126" spans="1:15" x14ac:dyDescent="0.25">
      <c r="A126" s="24">
        <v>2035</v>
      </c>
      <c r="B126" s="26" t="s">
        <v>29</v>
      </c>
      <c r="C126" s="26">
        <v>20</v>
      </c>
      <c r="D126" s="27">
        <v>0.02</v>
      </c>
      <c r="E126" s="33">
        <v>3.3669999999999999E-2</v>
      </c>
      <c r="F126" s="28">
        <v>10000</v>
      </c>
      <c r="G126" s="29">
        <f t="shared" si="35"/>
        <v>1.4282462475762727</v>
      </c>
      <c r="H126" s="31">
        <f t="shared" si="32"/>
        <v>14282.462475762728</v>
      </c>
      <c r="I126" s="29">
        <f t="shared" si="33"/>
        <v>1.8149907509376895</v>
      </c>
      <c r="J126" s="32">
        <f t="shared" si="34"/>
        <v>7869.1654314953912</v>
      </c>
      <c r="N126" s="7"/>
      <c r="O126" s="5"/>
    </row>
    <row r="127" spans="1:15" x14ac:dyDescent="0.25">
      <c r="A127" s="24">
        <v>2036</v>
      </c>
      <c r="B127" s="26" t="s">
        <v>30</v>
      </c>
      <c r="C127" s="26">
        <v>21</v>
      </c>
      <c r="D127" s="27">
        <v>0.02</v>
      </c>
      <c r="E127" s="33">
        <v>3.4200000000000001E-2</v>
      </c>
      <c r="F127" s="28">
        <v>10000</v>
      </c>
      <c r="G127" s="29">
        <f t="shared" si="35"/>
        <v>1.4568111725277981</v>
      </c>
      <c r="H127" s="31">
        <f t="shared" si="32"/>
        <v>14568.11172527798</v>
      </c>
      <c r="I127" s="29">
        <f t="shared" si="33"/>
        <v>1.8944630332534185</v>
      </c>
      <c r="J127" s="32">
        <f t="shared" si="34"/>
        <v>7689.836892863369</v>
      </c>
      <c r="N127" s="7"/>
      <c r="O127" s="5"/>
    </row>
    <row r="128" spans="1:15" x14ac:dyDescent="0.25">
      <c r="A128" s="24">
        <v>2037</v>
      </c>
      <c r="B128" s="26" t="s">
        <v>31</v>
      </c>
      <c r="C128" s="26">
        <v>22</v>
      </c>
      <c r="D128" s="27">
        <v>0.02</v>
      </c>
      <c r="E128" s="33">
        <v>3.4799999999999998E-2</v>
      </c>
      <c r="F128" s="28">
        <v>10000</v>
      </c>
      <c r="G128" s="29">
        <f t="shared" si="35"/>
        <v>1.4859473959783542</v>
      </c>
      <c r="H128" s="31">
        <f t="shared" si="32"/>
        <v>14859.473959783543</v>
      </c>
      <c r="I128" s="29">
        <f t="shared" si="33"/>
        <v>1.9821129587602895</v>
      </c>
      <c r="J128" s="32">
        <f t="shared" si="34"/>
        <v>7496.784627793053</v>
      </c>
      <c r="N128" s="7"/>
      <c r="O128" s="5"/>
    </row>
    <row r="129" spans="1:15" x14ac:dyDescent="0.25">
      <c r="A129" s="24">
        <v>2038</v>
      </c>
      <c r="B129" s="26" t="s">
        <v>32</v>
      </c>
      <c r="C129" s="26">
        <v>23</v>
      </c>
      <c r="D129" s="27">
        <v>0.02</v>
      </c>
      <c r="E129" s="33">
        <v>3.5000000000000003E-2</v>
      </c>
      <c r="F129" s="28">
        <v>10000</v>
      </c>
      <c r="G129" s="29">
        <f t="shared" si="35"/>
        <v>1.5156663438979212</v>
      </c>
      <c r="H129" s="31">
        <f t="shared" si="32"/>
        <v>15156.663438979213</v>
      </c>
      <c r="I129" s="29">
        <f t="shared" si="33"/>
        <v>2.0594314736871469</v>
      </c>
      <c r="J129" s="32">
        <f t="shared" si="34"/>
        <v>7359.6347499939675</v>
      </c>
      <c r="N129" s="7"/>
      <c r="O129" s="5"/>
    </row>
    <row r="130" spans="1:15" x14ac:dyDescent="0.25">
      <c r="A130" s="24">
        <v>2039</v>
      </c>
      <c r="B130" s="26" t="s">
        <v>33</v>
      </c>
      <c r="C130" s="26">
        <v>24</v>
      </c>
      <c r="D130" s="27">
        <v>0.02</v>
      </c>
      <c r="E130" s="33">
        <v>3.5049999999999998E-2</v>
      </c>
      <c r="F130" s="28">
        <v>10000</v>
      </c>
      <c r="G130" s="29">
        <f t="shared" si="35"/>
        <v>1.5459796707758797</v>
      </c>
      <c r="H130" s="31">
        <f t="shared" si="32"/>
        <v>15459.796707758796</v>
      </c>
      <c r="I130" s="29">
        <f t="shared" si="33"/>
        <v>2.1337780993604949</v>
      </c>
      <c r="J130" s="32">
        <f t="shared" si="34"/>
        <v>7245.2691835164032</v>
      </c>
      <c r="N130" s="7"/>
      <c r="O130" s="5"/>
    </row>
    <row r="131" spans="1:15" x14ac:dyDescent="0.25">
      <c r="A131" s="24">
        <v>2040</v>
      </c>
      <c r="B131" s="26" t="s">
        <v>34</v>
      </c>
      <c r="C131" s="26">
        <v>25</v>
      </c>
      <c r="D131" s="27">
        <v>0.02</v>
      </c>
      <c r="E131" s="33">
        <v>3.5099999999999999E-2</v>
      </c>
      <c r="F131" s="28">
        <v>10000</v>
      </c>
      <c r="G131" s="29">
        <f t="shared" si="35"/>
        <v>1.576899264191397</v>
      </c>
      <c r="H131" s="31">
        <f t="shared" si="32"/>
        <v>15768.99264191397</v>
      </c>
      <c r="I131" s="29">
        <f t="shared" si="33"/>
        <v>2.2110221709108755</v>
      </c>
      <c r="J131" s="32">
        <f t="shared" si="34"/>
        <v>7131.992093691948</v>
      </c>
      <c r="N131" s="7"/>
      <c r="O131" s="5"/>
    </row>
    <row r="132" spans="1:15" x14ac:dyDescent="0.25">
      <c r="A132" s="24">
        <v>2041</v>
      </c>
      <c r="B132" s="26" t="s">
        <v>100</v>
      </c>
      <c r="C132" s="26">
        <v>26</v>
      </c>
      <c r="D132" s="27">
        <v>0.02</v>
      </c>
      <c r="E132" s="33">
        <v>3.5099999999999999E-2</v>
      </c>
      <c r="F132" s="28">
        <v>10000</v>
      </c>
      <c r="G132" s="29">
        <f t="shared" ref="G132:G141" si="36">(1+D132)^(C132-$C$108)</f>
        <v>1.608437249475225</v>
      </c>
      <c r="H132" s="31">
        <f t="shared" ref="H132:H141" si="37">F132*((1+D132)^(C132-$C$108))</f>
        <v>16084.37249475225</v>
      </c>
      <c r="I132" s="29">
        <f t="shared" ref="I132:I141" si="38">(1+E132)^(C132-$C$108)</f>
        <v>2.2886290491098471</v>
      </c>
      <c r="J132" s="32">
        <f t="shared" ref="J132:J141" si="39">H132/I132</f>
        <v>7027.9508603669083</v>
      </c>
      <c r="N132" s="7"/>
      <c r="O132" s="5"/>
    </row>
    <row r="133" spans="1:15" x14ac:dyDescent="0.25">
      <c r="A133" s="24">
        <v>2042</v>
      </c>
      <c r="B133" s="26" t="s">
        <v>101</v>
      </c>
      <c r="C133" s="26">
        <v>27</v>
      </c>
      <c r="D133" s="27">
        <v>0.02</v>
      </c>
      <c r="E133" s="33">
        <v>3.5099999999999999E-2</v>
      </c>
      <c r="F133" s="28">
        <v>10000</v>
      </c>
      <c r="G133" s="29">
        <f t="shared" si="36"/>
        <v>1.6406059944647295</v>
      </c>
      <c r="H133" s="31">
        <f t="shared" si="37"/>
        <v>16406.059944647295</v>
      </c>
      <c r="I133" s="29">
        <f t="shared" si="38"/>
        <v>2.3689599287336027</v>
      </c>
      <c r="J133" s="32">
        <f t="shared" si="39"/>
        <v>6925.4273766537017</v>
      </c>
      <c r="N133" s="7"/>
      <c r="O133" s="5"/>
    </row>
    <row r="134" spans="1:15" x14ac:dyDescent="0.25">
      <c r="A134" s="24">
        <v>2043</v>
      </c>
      <c r="B134" s="26" t="s">
        <v>102</v>
      </c>
      <c r="C134" s="26">
        <v>28</v>
      </c>
      <c r="D134" s="27">
        <v>0.02</v>
      </c>
      <c r="E134" s="33">
        <v>3.5099999999999999E-2</v>
      </c>
      <c r="F134" s="28">
        <v>10000</v>
      </c>
      <c r="G134" s="29">
        <f t="shared" si="36"/>
        <v>1.6734181143540243</v>
      </c>
      <c r="H134" s="31">
        <f t="shared" si="37"/>
        <v>16734.181143540241</v>
      </c>
      <c r="I134" s="29">
        <f t="shared" si="38"/>
        <v>2.4521104222321521</v>
      </c>
      <c r="J134" s="32">
        <f t="shared" si="39"/>
        <v>6824.3995016778827</v>
      </c>
      <c r="N134" s="7"/>
      <c r="O134" s="5"/>
    </row>
    <row r="135" spans="1:15" x14ac:dyDescent="0.25">
      <c r="A135" s="24">
        <v>2044</v>
      </c>
      <c r="B135" s="26" t="s">
        <v>103</v>
      </c>
      <c r="C135" s="26">
        <v>29</v>
      </c>
      <c r="D135" s="27">
        <v>0.02</v>
      </c>
      <c r="E135" s="33">
        <v>3.5099999999999999E-2</v>
      </c>
      <c r="F135" s="28">
        <v>10000</v>
      </c>
      <c r="G135" s="29">
        <f t="shared" si="36"/>
        <v>1.7068864766411045</v>
      </c>
      <c r="H135" s="31">
        <f t="shared" si="37"/>
        <v>17068.864766411043</v>
      </c>
      <c r="I135" s="29">
        <f t="shared" si="38"/>
        <v>2.5381794980525001</v>
      </c>
      <c r="J135" s="32">
        <f t="shared" si="39"/>
        <v>6724.8454175552515</v>
      </c>
      <c r="N135" s="7"/>
      <c r="O135" s="5"/>
    </row>
    <row r="136" spans="1:15" x14ac:dyDescent="0.25">
      <c r="A136" s="24">
        <v>2045</v>
      </c>
      <c r="B136" s="26" t="s">
        <v>104</v>
      </c>
      <c r="C136" s="26">
        <v>30</v>
      </c>
      <c r="D136" s="27">
        <v>0.02</v>
      </c>
      <c r="E136" s="33">
        <v>3.5099999999999999E-2</v>
      </c>
      <c r="F136" s="28">
        <v>10000</v>
      </c>
      <c r="G136" s="29">
        <f t="shared" si="36"/>
        <v>1.7410242061739269</v>
      </c>
      <c r="H136" s="31">
        <f t="shared" si="37"/>
        <v>17410.242061739271</v>
      </c>
      <c r="I136" s="29">
        <f t="shared" si="38"/>
        <v>2.6272695984341432</v>
      </c>
      <c r="J136" s="32">
        <f t="shared" si="39"/>
        <v>6626.7436246800871</v>
      </c>
      <c r="N136" s="7"/>
      <c r="O136" s="5"/>
    </row>
    <row r="137" spans="1:15" x14ac:dyDescent="0.25">
      <c r="A137" s="24">
        <v>2046</v>
      </c>
      <c r="B137" s="26" t="s">
        <v>105</v>
      </c>
      <c r="C137" s="26">
        <v>31</v>
      </c>
      <c r="D137" s="27">
        <v>0.02</v>
      </c>
      <c r="E137" s="33">
        <v>3.5099999999999999E-2</v>
      </c>
      <c r="F137" s="28">
        <v>10000</v>
      </c>
      <c r="G137" s="29">
        <f t="shared" si="36"/>
        <v>1.7758446902974052</v>
      </c>
      <c r="H137" s="31">
        <f t="shared" si="37"/>
        <v>17758.446902974054</v>
      </c>
      <c r="I137" s="29">
        <f t="shared" si="38"/>
        <v>2.7194867613391813</v>
      </c>
      <c r="J137" s="32">
        <f t="shared" si="39"/>
        <v>6530.0729370821064</v>
      </c>
      <c r="N137" s="7"/>
      <c r="O137" s="5"/>
    </row>
    <row r="138" spans="1:15" x14ac:dyDescent="0.25">
      <c r="A138" s="24">
        <v>2047</v>
      </c>
      <c r="B138" s="26" t="s">
        <v>106</v>
      </c>
      <c r="C138" s="26">
        <v>32</v>
      </c>
      <c r="D138" s="27">
        <v>0.02</v>
      </c>
      <c r="E138" s="33">
        <v>3.5099999999999999E-2</v>
      </c>
      <c r="F138" s="28">
        <v>10000</v>
      </c>
      <c r="G138" s="29">
        <f t="shared" si="36"/>
        <v>1.8113615841033535</v>
      </c>
      <c r="H138" s="31">
        <f t="shared" si="37"/>
        <v>18113.615841033534</v>
      </c>
      <c r="I138" s="29">
        <f t="shared" si="38"/>
        <v>2.8149407466621863</v>
      </c>
      <c r="J138" s="32">
        <f t="shared" si="39"/>
        <v>6434.8124778511728</v>
      </c>
      <c r="N138" s="7"/>
      <c r="O138" s="5"/>
    </row>
    <row r="139" spans="1:15" x14ac:dyDescent="0.25">
      <c r="A139" s="24">
        <v>2048</v>
      </c>
      <c r="B139" s="26" t="s">
        <v>107</v>
      </c>
      <c r="C139" s="26">
        <v>33</v>
      </c>
      <c r="D139" s="27">
        <v>0.02</v>
      </c>
      <c r="E139" s="33">
        <v>3.5099999999999999E-2</v>
      </c>
      <c r="F139" s="28">
        <v>10000</v>
      </c>
      <c r="G139" s="29">
        <f t="shared" si="36"/>
        <v>1.8475888157854201</v>
      </c>
      <c r="H139" s="31">
        <f t="shared" si="37"/>
        <v>18475.888157854202</v>
      </c>
      <c r="I139" s="29">
        <f t="shared" si="38"/>
        <v>2.9137451668700289</v>
      </c>
      <c r="J139" s="32">
        <f t="shared" si="39"/>
        <v>6340.9416746287279</v>
      </c>
      <c r="N139" s="7"/>
      <c r="O139" s="5"/>
    </row>
    <row r="140" spans="1:15" x14ac:dyDescent="0.25">
      <c r="A140" s="24">
        <v>2049</v>
      </c>
      <c r="B140" s="26" t="s">
        <v>108</v>
      </c>
      <c r="C140" s="26">
        <v>34</v>
      </c>
      <c r="D140" s="27">
        <v>0.02</v>
      </c>
      <c r="E140" s="33">
        <v>3.5099999999999999E-2</v>
      </c>
      <c r="F140" s="28">
        <v>10000</v>
      </c>
      <c r="G140" s="29">
        <f t="shared" si="36"/>
        <v>1.8845405921011289</v>
      </c>
      <c r="H140" s="31">
        <f t="shared" si="37"/>
        <v>18845.40592101129</v>
      </c>
      <c r="I140" s="29">
        <f t="shared" si="38"/>
        <v>3.0160176222271669</v>
      </c>
      <c r="J140" s="32">
        <f t="shared" si="39"/>
        <v>6248.4402551650119</v>
      </c>
      <c r="N140" s="7"/>
      <c r="O140" s="5"/>
    </row>
    <row r="141" spans="1:15" ht="15.75" thickBot="1" x14ac:dyDescent="0.3">
      <c r="A141" s="15">
        <v>2050</v>
      </c>
      <c r="B141" s="16" t="s">
        <v>109</v>
      </c>
      <c r="C141" s="16">
        <v>35</v>
      </c>
      <c r="D141" s="34">
        <v>0.02</v>
      </c>
      <c r="E141" s="35">
        <v>3.5099999999999999E-2</v>
      </c>
      <c r="F141" s="36">
        <v>10000</v>
      </c>
      <c r="G141" s="37">
        <f t="shared" si="36"/>
        <v>1.9222314039431516</v>
      </c>
      <c r="H141" s="38">
        <f t="shared" si="37"/>
        <v>19222.314039431516</v>
      </c>
      <c r="I141" s="37">
        <f t="shared" si="38"/>
        <v>3.12187984076734</v>
      </c>
      <c r="J141" s="39">
        <f t="shared" si="39"/>
        <v>6157.2882429410811</v>
      </c>
      <c r="N141" s="7"/>
      <c r="O141" s="5"/>
    </row>
    <row r="142" spans="1:15" x14ac:dyDescent="0.25">
      <c r="E142" s="5"/>
    </row>
    <row r="143" spans="1:15" ht="15.75" thickBot="1" x14ac:dyDescent="0.3"/>
    <row r="144" spans="1:15" x14ac:dyDescent="0.25">
      <c r="A144" s="54"/>
      <c r="B144" s="96" t="s">
        <v>114</v>
      </c>
      <c r="C144" s="97"/>
      <c r="D144" s="97"/>
      <c r="E144" s="97"/>
      <c r="F144" s="97"/>
      <c r="G144" s="97"/>
      <c r="H144" s="97"/>
      <c r="I144" s="97"/>
      <c r="J144" s="98"/>
    </row>
    <row r="145" spans="1:15" ht="60.75" thickBot="1" x14ac:dyDescent="0.3">
      <c r="A145" s="55"/>
      <c r="B145" s="56"/>
      <c r="C145" s="57"/>
      <c r="D145" s="58" t="s">
        <v>40</v>
      </c>
      <c r="E145" s="58" t="s">
        <v>47</v>
      </c>
      <c r="F145" s="58" t="s">
        <v>39</v>
      </c>
      <c r="G145" s="58" t="s">
        <v>44</v>
      </c>
      <c r="H145" s="59" t="s">
        <v>41</v>
      </c>
      <c r="I145" s="59" t="s">
        <v>43</v>
      </c>
      <c r="J145" s="60" t="s">
        <v>42</v>
      </c>
    </row>
    <row r="146" spans="1:15" ht="15.75" thickBot="1" x14ac:dyDescent="0.3">
      <c r="A146" s="17"/>
      <c r="B146" s="9" t="s">
        <v>51</v>
      </c>
      <c r="C146" s="10"/>
      <c r="D146" s="11"/>
      <c r="E146" s="11"/>
      <c r="F146" s="11"/>
      <c r="G146" s="11"/>
      <c r="H146" s="12"/>
      <c r="I146" s="12"/>
      <c r="J146" s="18">
        <f>SUM(J147:J181)</f>
        <v>537962.28903263004</v>
      </c>
    </row>
    <row r="147" spans="1:15" x14ac:dyDescent="0.25">
      <c r="A147" s="13">
        <v>2016</v>
      </c>
      <c r="B147" s="14" t="s">
        <v>10</v>
      </c>
      <c r="C147" s="14">
        <v>1</v>
      </c>
      <c r="D147" s="20">
        <v>0.02</v>
      </c>
      <c r="E147" s="40">
        <v>0</v>
      </c>
      <c r="F147" s="21">
        <v>0</v>
      </c>
      <c r="G147" s="22">
        <f t="shared" ref="G147" si="40">(1+D147)^(C147-$C$68)</f>
        <v>1</v>
      </c>
      <c r="H147" s="14"/>
      <c r="I147" s="22">
        <f>(1+E148)^(C147-$C$68)</f>
        <v>1</v>
      </c>
      <c r="J147" s="23"/>
    </row>
    <row r="148" spans="1:15" x14ac:dyDescent="0.25">
      <c r="A148" s="24">
        <v>2017</v>
      </c>
      <c r="B148" s="25" t="s">
        <v>11</v>
      </c>
      <c r="C148" s="26">
        <v>2</v>
      </c>
      <c r="D148" s="27">
        <v>0.02</v>
      </c>
      <c r="E148" s="33">
        <v>0</v>
      </c>
      <c r="F148" s="28">
        <v>0</v>
      </c>
      <c r="G148" s="29">
        <f t="shared" ref="G148:G150" si="41">(1+D148)^(C148-$C$108)</f>
        <v>1</v>
      </c>
      <c r="H148" s="26"/>
      <c r="I148" s="29">
        <f>(1+E149)^(C148-$C$108)</f>
        <v>1</v>
      </c>
      <c r="J148" s="30"/>
    </row>
    <row r="149" spans="1:15" x14ac:dyDescent="0.25">
      <c r="A149" s="24">
        <v>2018</v>
      </c>
      <c r="B149" s="25" t="s">
        <v>12</v>
      </c>
      <c r="C149" s="26">
        <v>3</v>
      </c>
      <c r="D149" s="27">
        <v>0.02</v>
      </c>
      <c r="E149" s="33">
        <v>1.8450000000000001E-2</v>
      </c>
      <c r="F149" s="28">
        <v>0</v>
      </c>
      <c r="G149" s="29">
        <f t="shared" si="41"/>
        <v>1.02</v>
      </c>
      <c r="H149" s="26"/>
      <c r="I149" s="29">
        <f t="shared" ref="I149:I150" si="42">(1+E149)^(C149-$C$108)</f>
        <v>1.0184500000000001</v>
      </c>
      <c r="J149" s="30"/>
      <c r="N149" s="7"/>
      <c r="O149" s="5"/>
    </row>
    <row r="150" spans="1:15" x14ac:dyDescent="0.25">
      <c r="A150" s="24">
        <v>2019</v>
      </c>
      <c r="B150" s="26" t="s">
        <v>13</v>
      </c>
      <c r="C150" s="26">
        <v>4</v>
      </c>
      <c r="D150" s="27">
        <v>0.02</v>
      </c>
      <c r="E150" s="33">
        <v>1.9199999999999998E-2</v>
      </c>
      <c r="F150" s="28">
        <v>0</v>
      </c>
      <c r="G150" s="29">
        <f t="shared" si="41"/>
        <v>1.0404</v>
      </c>
      <c r="H150" s="26"/>
      <c r="I150" s="29">
        <f t="shared" si="42"/>
        <v>1.0387686400000002</v>
      </c>
      <c r="J150" s="30"/>
      <c r="N150" s="7"/>
      <c r="O150" s="5"/>
    </row>
    <row r="151" spans="1:15" x14ac:dyDescent="0.25">
      <c r="A151" s="24">
        <v>2020</v>
      </c>
      <c r="B151" s="26" t="s">
        <v>14</v>
      </c>
      <c r="C151" s="26">
        <v>5</v>
      </c>
      <c r="D151" s="27">
        <v>0.02</v>
      </c>
      <c r="E151" s="33">
        <v>1.9789999999999999E-2</v>
      </c>
      <c r="F151" s="28">
        <v>300000</v>
      </c>
      <c r="G151" s="29">
        <f>(1+D151)^(C151-$C$108)</f>
        <v>1.0612079999999999</v>
      </c>
      <c r="H151" s="31">
        <f>F151*((1+D151)^(C151-$C$108))</f>
        <v>318362.39999999997</v>
      </c>
      <c r="I151" s="29">
        <f>(1+E151)^(C151-$C$108)</f>
        <v>1.0605526829367389</v>
      </c>
      <c r="J151" s="32">
        <f>H151/I151</f>
        <v>300185.37044141354</v>
      </c>
      <c r="N151" s="7"/>
      <c r="O151" s="5"/>
    </row>
    <row r="152" spans="1:15" x14ac:dyDescent="0.25">
      <c r="A152" s="24">
        <v>2021</v>
      </c>
      <c r="B152" s="26" t="s">
        <v>15</v>
      </c>
      <c r="C152" s="26">
        <v>6</v>
      </c>
      <c r="D152" s="27">
        <v>0.02</v>
      </c>
      <c r="E152" s="33">
        <v>2.0119999999999999E-2</v>
      </c>
      <c r="F152" s="28">
        <v>10000</v>
      </c>
      <c r="G152" s="29">
        <f>(1+D152)^(C152-$C$108)</f>
        <v>1.08243216</v>
      </c>
      <c r="H152" s="31">
        <f t="shared" ref="H152:H171" si="43">F152*((1+D152)^(C152-$C$108))</f>
        <v>10824.321599999999</v>
      </c>
      <c r="I152" s="29">
        <f t="shared" ref="I152:I171" si="44">(1+E152)^(C152-$C$108)</f>
        <v>1.08294162973761</v>
      </c>
      <c r="J152" s="32">
        <f t="shared" ref="J152:J171" si="45">H152/I152</f>
        <v>9995.2955014045074</v>
      </c>
      <c r="N152" s="7"/>
      <c r="O152" s="5"/>
    </row>
    <row r="153" spans="1:15" x14ac:dyDescent="0.25">
      <c r="A153" s="24">
        <v>2022</v>
      </c>
      <c r="B153" s="26" t="s">
        <v>16</v>
      </c>
      <c r="C153" s="26">
        <v>7</v>
      </c>
      <c r="D153" s="27">
        <v>0.02</v>
      </c>
      <c r="E153" s="33">
        <v>2.197E-2</v>
      </c>
      <c r="F153" s="28">
        <v>10000</v>
      </c>
      <c r="G153" s="29">
        <f t="shared" ref="G153:G171" si="46">(1+D153)^(C153-$C$108)</f>
        <v>1.1040808032</v>
      </c>
      <c r="H153" s="31">
        <f t="shared" si="43"/>
        <v>11040.808032000001</v>
      </c>
      <c r="I153" s="29">
        <f t="shared" si="44"/>
        <v>1.1147840240165758</v>
      </c>
      <c r="J153" s="32">
        <f t="shared" si="45"/>
        <v>9903.9883907017975</v>
      </c>
      <c r="N153" s="7"/>
      <c r="O153" s="5"/>
    </row>
    <row r="154" spans="1:15" x14ac:dyDescent="0.25">
      <c r="A154" s="24">
        <v>2023</v>
      </c>
      <c r="B154" s="26" t="s">
        <v>17</v>
      </c>
      <c r="C154" s="26">
        <v>8</v>
      </c>
      <c r="D154" s="27">
        <v>0.02</v>
      </c>
      <c r="E154" s="33">
        <v>2.383E-2</v>
      </c>
      <c r="F154" s="28">
        <v>10000</v>
      </c>
      <c r="G154" s="29">
        <f t="shared" si="46"/>
        <v>1.1261624192640001</v>
      </c>
      <c r="H154" s="31">
        <f t="shared" si="43"/>
        <v>11261.62419264</v>
      </c>
      <c r="I154" s="29">
        <f t="shared" si="44"/>
        <v>1.1517735632346653</v>
      </c>
      <c r="J154" s="32">
        <f t="shared" si="45"/>
        <v>9777.6373343842133</v>
      </c>
      <c r="N154" s="7"/>
      <c r="O154" s="5"/>
    </row>
    <row r="155" spans="1:15" x14ac:dyDescent="0.25">
      <c r="A155" s="24">
        <v>2024</v>
      </c>
      <c r="B155" s="26" t="s">
        <v>18</v>
      </c>
      <c r="C155" s="26">
        <v>9</v>
      </c>
      <c r="D155" s="27">
        <v>0.02</v>
      </c>
      <c r="E155" s="33">
        <v>2.547E-2</v>
      </c>
      <c r="F155" s="28">
        <v>10000</v>
      </c>
      <c r="G155" s="29">
        <f t="shared" si="46"/>
        <v>1.1486856676492798</v>
      </c>
      <c r="H155" s="31">
        <f t="shared" si="43"/>
        <v>11486.856676492798</v>
      </c>
      <c r="I155" s="29">
        <f t="shared" si="44"/>
        <v>1.1925063975165731</v>
      </c>
      <c r="J155" s="32">
        <f t="shared" si="45"/>
        <v>9632.5325385377291</v>
      </c>
      <c r="N155" s="7"/>
      <c r="O155" s="5"/>
    </row>
    <row r="156" spans="1:15" x14ac:dyDescent="0.25">
      <c r="A156" s="24">
        <v>2025</v>
      </c>
      <c r="B156" s="26" t="s">
        <v>19</v>
      </c>
      <c r="C156" s="26">
        <v>10</v>
      </c>
      <c r="D156" s="27">
        <v>0.02</v>
      </c>
      <c r="E156" s="33">
        <v>2.6919999999999999E-2</v>
      </c>
      <c r="F156" s="28">
        <v>10000</v>
      </c>
      <c r="G156" s="29">
        <f t="shared" si="46"/>
        <v>1.1716593810022655</v>
      </c>
      <c r="H156" s="31">
        <f t="shared" si="43"/>
        <v>11716.593810022656</v>
      </c>
      <c r="I156" s="29">
        <f t="shared" si="44"/>
        <v>1.2367812628116466</v>
      </c>
      <c r="J156" s="32">
        <f t="shared" si="45"/>
        <v>9473.4567561176045</v>
      </c>
      <c r="N156" s="7"/>
      <c r="O156" s="5"/>
    </row>
    <row r="157" spans="1:15" x14ac:dyDescent="0.25">
      <c r="A157" s="24">
        <v>2026</v>
      </c>
      <c r="B157" s="26" t="s">
        <v>20</v>
      </c>
      <c r="C157" s="26">
        <v>11</v>
      </c>
      <c r="D157" s="27">
        <v>0.02</v>
      </c>
      <c r="E157" s="33">
        <v>2.8379999999999999E-2</v>
      </c>
      <c r="F157" s="28">
        <v>10000</v>
      </c>
      <c r="G157" s="29">
        <f t="shared" si="46"/>
        <v>1.1950925686223108</v>
      </c>
      <c r="H157" s="31">
        <f t="shared" si="43"/>
        <v>11950.925686223109</v>
      </c>
      <c r="I157" s="29">
        <f t="shared" si="44"/>
        <v>1.2864194471321551</v>
      </c>
      <c r="J157" s="32">
        <f t="shared" si="45"/>
        <v>9290.0692016632565</v>
      </c>
      <c r="N157" s="7"/>
      <c r="O157" s="5"/>
    </row>
    <row r="158" spans="1:15" x14ac:dyDescent="0.25">
      <c r="A158" s="24">
        <v>2027</v>
      </c>
      <c r="B158" s="26" t="s">
        <v>21</v>
      </c>
      <c r="C158" s="26">
        <v>12</v>
      </c>
      <c r="D158" s="27">
        <v>0.02</v>
      </c>
      <c r="E158" s="33">
        <v>2.9250000000000002E-2</v>
      </c>
      <c r="F158" s="28">
        <v>10000</v>
      </c>
      <c r="G158" s="29">
        <f t="shared" si="46"/>
        <v>1.2189944199947571</v>
      </c>
      <c r="H158" s="31">
        <f t="shared" si="43"/>
        <v>12189.944199947571</v>
      </c>
      <c r="I158" s="29">
        <f t="shared" si="44"/>
        <v>1.3341625833999931</v>
      </c>
      <c r="J158" s="32">
        <f t="shared" si="45"/>
        <v>9136.7756461004901</v>
      </c>
      <c r="N158" s="7"/>
      <c r="O158" s="5"/>
    </row>
    <row r="159" spans="1:15" x14ac:dyDescent="0.25">
      <c r="A159" s="24">
        <v>2028</v>
      </c>
      <c r="B159" s="26" t="s">
        <v>22</v>
      </c>
      <c r="C159" s="26">
        <v>13</v>
      </c>
      <c r="D159" s="27">
        <v>0.02</v>
      </c>
      <c r="E159" s="33">
        <v>2.9659999999999999E-2</v>
      </c>
      <c r="F159" s="28">
        <v>10000</v>
      </c>
      <c r="G159" s="29">
        <f t="shared" si="46"/>
        <v>1.243374308394652</v>
      </c>
      <c r="H159" s="31">
        <f t="shared" si="43"/>
        <v>12433.74308394652</v>
      </c>
      <c r="I159" s="29">
        <f t="shared" si="44"/>
        <v>1.3792159110038158</v>
      </c>
      <c r="J159" s="32">
        <f t="shared" si="45"/>
        <v>9015.0809490713018</v>
      </c>
      <c r="N159" s="7"/>
      <c r="O159" s="5"/>
    </row>
    <row r="160" spans="1:15" x14ac:dyDescent="0.25">
      <c r="A160" s="24">
        <v>2029</v>
      </c>
      <c r="B160" s="26" t="s">
        <v>23</v>
      </c>
      <c r="C160" s="26">
        <v>14</v>
      </c>
      <c r="D160" s="27">
        <v>0.02</v>
      </c>
      <c r="E160" s="33">
        <v>3.0540000000000001E-2</v>
      </c>
      <c r="F160" s="28">
        <v>10000</v>
      </c>
      <c r="G160" s="29">
        <f t="shared" si="46"/>
        <v>1.2682417945625453</v>
      </c>
      <c r="H160" s="31">
        <f t="shared" si="43"/>
        <v>12682.417945625453</v>
      </c>
      <c r="I160" s="29">
        <f t="shared" si="44"/>
        <v>1.4347566320589649</v>
      </c>
      <c r="J160" s="32">
        <f t="shared" si="45"/>
        <v>8839.421029492225</v>
      </c>
      <c r="N160" s="7"/>
      <c r="O160" s="5"/>
    </row>
    <row r="161" spans="1:15" x14ac:dyDescent="0.25">
      <c r="A161" s="24">
        <v>2030</v>
      </c>
      <c r="B161" s="26" t="s">
        <v>24</v>
      </c>
      <c r="C161" s="26">
        <v>15</v>
      </c>
      <c r="D161" s="27">
        <v>0.02</v>
      </c>
      <c r="E161" s="33">
        <v>3.1E-2</v>
      </c>
      <c r="F161" s="28">
        <v>10000</v>
      </c>
      <c r="G161" s="29">
        <f t="shared" si="46"/>
        <v>1.2936066304537961</v>
      </c>
      <c r="H161" s="31">
        <f t="shared" si="43"/>
        <v>12936.066304537961</v>
      </c>
      <c r="I161" s="29">
        <f t="shared" si="44"/>
        <v>1.4871769605171099</v>
      </c>
      <c r="J161" s="32">
        <f t="shared" si="45"/>
        <v>8698.4041899357617</v>
      </c>
      <c r="N161" s="7"/>
      <c r="O161" s="5"/>
    </row>
    <row r="162" spans="1:15" x14ac:dyDescent="0.25">
      <c r="A162" s="24">
        <v>2031</v>
      </c>
      <c r="B162" s="26" t="s">
        <v>25</v>
      </c>
      <c r="C162" s="26">
        <v>16</v>
      </c>
      <c r="D162" s="27">
        <v>0.02</v>
      </c>
      <c r="E162" s="33">
        <v>3.1980000000000001E-2</v>
      </c>
      <c r="F162" s="28">
        <v>10000</v>
      </c>
      <c r="G162" s="29">
        <f t="shared" si="46"/>
        <v>1.3194787630628722</v>
      </c>
      <c r="H162" s="31">
        <f t="shared" si="43"/>
        <v>13194.787630628722</v>
      </c>
      <c r="I162" s="29">
        <f t="shared" si="44"/>
        <v>1.5538100606365834</v>
      </c>
      <c r="J162" s="32">
        <f t="shared" si="45"/>
        <v>8491.8922620586745</v>
      </c>
      <c r="N162" s="7"/>
      <c r="O162" s="5"/>
    </row>
    <row r="163" spans="1:15" x14ac:dyDescent="0.25">
      <c r="A163" s="24">
        <v>2032</v>
      </c>
      <c r="B163" s="26" t="s">
        <v>26</v>
      </c>
      <c r="C163" s="26">
        <v>17</v>
      </c>
      <c r="D163" s="27">
        <v>0.02</v>
      </c>
      <c r="E163" s="33">
        <v>3.1980000000000001E-2</v>
      </c>
      <c r="F163" s="28">
        <v>10000</v>
      </c>
      <c r="G163" s="29">
        <f t="shared" si="46"/>
        <v>1.3458683383241292</v>
      </c>
      <c r="H163" s="31">
        <f t="shared" si="43"/>
        <v>13458.683383241292</v>
      </c>
      <c r="I163" s="29">
        <f t="shared" si="44"/>
        <v>1.6035009063757411</v>
      </c>
      <c r="J163" s="32">
        <f t="shared" si="45"/>
        <v>8393.3119898639961</v>
      </c>
      <c r="N163" s="7"/>
      <c r="O163" s="5"/>
    </row>
    <row r="164" spans="1:15" x14ac:dyDescent="0.25">
      <c r="A164" s="24">
        <v>2033</v>
      </c>
      <c r="B164" s="26" t="s">
        <v>27</v>
      </c>
      <c r="C164" s="26">
        <v>18</v>
      </c>
      <c r="D164" s="27">
        <v>0.02</v>
      </c>
      <c r="E164" s="33">
        <v>3.1980000000000001E-2</v>
      </c>
      <c r="F164" s="28">
        <v>10000</v>
      </c>
      <c r="G164" s="29">
        <f t="shared" si="46"/>
        <v>1.372785705090612</v>
      </c>
      <c r="H164" s="31">
        <f t="shared" si="43"/>
        <v>13727.857050906121</v>
      </c>
      <c r="I164" s="29">
        <f t="shared" si="44"/>
        <v>1.6547808653616372</v>
      </c>
      <c r="J164" s="32">
        <f t="shared" si="45"/>
        <v>8295.8761116119294</v>
      </c>
      <c r="N164" s="7"/>
      <c r="O164" s="5"/>
    </row>
    <row r="165" spans="1:15" x14ac:dyDescent="0.25">
      <c r="A165" s="24">
        <v>2034</v>
      </c>
      <c r="B165" s="26" t="s">
        <v>28</v>
      </c>
      <c r="C165" s="26">
        <v>19</v>
      </c>
      <c r="D165" s="27">
        <v>0.02</v>
      </c>
      <c r="E165" s="33">
        <v>3.1980000000000001E-2</v>
      </c>
      <c r="F165" s="28">
        <v>10000</v>
      </c>
      <c r="G165" s="29">
        <f t="shared" si="46"/>
        <v>1.4002414191924244</v>
      </c>
      <c r="H165" s="31">
        <f t="shared" si="43"/>
        <v>14002.414191924245</v>
      </c>
      <c r="I165" s="29">
        <f t="shared" si="44"/>
        <v>1.7077007574359022</v>
      </c>
      <c r="J165" s="32">
        <f t="shared" si="45"/>
        <v>8199.5713423168745</v>
      </c>
      <c r="N165" s="7"/>
      <c r="O165" s="5"/>
    </row>
    <row r="166" spans="1:15" x14ac:dyDescent="0.25">
      <c r="A166" s="24">
        <v>2035</v>
      </c>
      <c r="B166" s="26" t="s">
        <v>29</v>
      </c>
      <c r="C166" s="26">
        <v>20</v>
      </c>
      <c r="D166" s="27">
        <v>0.02</v>
      </c>
      <c r="E166" s="33">
        <v>3.3669999999999999E-2</v>
      </c>
      <c r="F166" s="28">
        <v>10000</v>
      </c>
      <c r="G166" s="29">
        <f t="shared" si="46"/>
        <v>1.4282462475762727</v>
      </c>
      <c r="H166" s="31">
        <f t="shared" si="43"/>
        <v>14282.462475762728</v>
      </c>
      <c r="I166" s="29">
        <f t="shared" si="44"/>
        <v>1.8149907509376895</v>
      </c>
      <c r="J166" s="32">
        <f t="shared" si="45"/>
        <v>7869.1654314953912</v>
      </c>
      <c r="N166" s="7"/>
      <c r="O166" s="5"/>
    </row>
    <row r="167" spans="1:15" x14ac:dyDescent="0.25">
      <c r="A167" s="24">
        <v>2036</v>
      </c>
      <c r="B167" s="26" t="s">
        <v>30</v>
      </c>
      <c r="C167" s="26">
        <v>21</v>
      </c>
      <c r="D167" s="27">
        <v>0.02</v>
      </c>
      <c r="E167" s="33">
        <v>3.4200000000000001E-2</v>
      </c>
      <c r="F167" s="28">
        <v>10000</v>
      </c>
      <c r="G167" s="29">
        <f t="shared" si="46"/>
        <v>1.4568111725277981</v>
      </c>
      <c r="H167" s="31">
        <f t="shared" si="43"/>
        <v>14568.11172527798</v>
      </c>
      <c r="I167" s="29">
        <f t="shared" si="44"/>
        <v>1.8944630332534185</v>
      </c>
      <c r="J167" s="32">
        <f t="shared" si="45"/>
        <v>7689.836892863369</v>
      </c>
      <c r="N167" s="7"/>
      <c r="O167" s="5"/>
    </row>
    <row r="168" spans="1:15" x14ac:dyDescent="0.25">
      <c r="A168" s="24">
        <v>2037</v>
      </c>
      <c r="B168" s="26" t="s">
        <v>31</v>
      </c>
      <c r="C168" s="25">
        <v>22</v>
      </c>
      <c r="D168" s="71">
        <v>0.02</v>
      </c>
      <c r="E168" s="72">
        <v>3.4799999999999998E-2</v>
      </c>
      <c r="F168" s="73">
        <v>10000</v>
      </c>
      <c r="G168" s="74">
        <f t="shared" si="46"/>
        <v>1.4859473959783542</v>
      </c>
      <c r="H168" s="75">
        <f t="shared" si="43"/>
        <v>14859.473959783543</v>
      </c>
      <c r="I168" s="74">
        <f t="shared" si="44"/>
        <v>1.9821129587602895</v>
      </c>
      <c r="J168" s="76">
        <f t="shared" si="45"/>
        <v>7496.784627793053</v>
      </c>
      <c r="N168" s="7"/>
      <c r="O168" s="5"/>
    </row>
    <row r="169" spans="1:15" x14ac:dyDescent="0.25">
      <c r="A169" s="24">
        <v>2038</v>
      </c>
      <c r="B169" s="26" t="s">
        <v>32</v>
      </c>
      <c r="C169" s="25">
        <v>23</v>
      </c>
      <c r="D169" s="71">
        <v>0.02</v>
      </c>
      <c r="E169" s="72">
        <v>3.5000000000000003E-2</v>
      </c>
      <c r="F169" s="73">
        <v>10000</v>
      </c>
      <c r="G169" s="74">
        <f t="shared" si="46"/>
        <v>1.5156663438979212</v>
      </c>
      <c r="H169" s="75">
        <f t="shared" si="43"/>
        <v>15156.663438979213</v>
      </c>
      <c r="I169" s="74">
        <f t="shared" si="44"/>
        <v>2.0594314736871469</v>
      </c>
      <c r="J169" s="76">
        <f t="shared" si="45"/>
        <v>7359.6347499939675</v>
      </c>
      <c r="N169" s="7"/>
      <c r="O169" s="5"/>
    </row>
    <row r="170" spans="1:15" x14ac:dyDescent="0.25">
      <c r="A170" s="24">
        <v>2039</v>
      </c>
      <c r="B170" s="26" t="s">
        <v>33</v>
      </c>
      <c r="C170" s="25">
        <v>24</v>
      </c>
      <c r="D170" s="71">
        <v>0.02</v>
      </c>
      <c r="E170" s="72">
        <v>3.5049999999999998E-2</v>
      </c>
      <c r="F170" s="73">
        <v>10000</v>
      </c>
      <c r="G170" s="74">
        <f t="shared" si="46"/>
        <v>1.5459796707758797</v>
      </c>
      <c r="H170" s="75">
        <f t="shared" si="43"/>
        <v>15459.796707758796</v>
      </c>
      <c r="I170" s="74">
        <f t="shared" si="44"/>
        <v>2.1337780993604949</v>
      </c>
      <c r="J170" s="76">
        <f t="shared" si="45"/>
        <v>7245.2691835164032</v>
      </c>
      <c r="N170" s="7"/>
      <c r="O170" s="5"/>
    </row>
    <row r="171" spans="1:15" x14ac:dyDescent="0.25">
      <c r="A171" s="24">
        <v>2040</v>
      </c>
      <c r="B171" s="26" t="s">
        <v>34</v>
      </c>
      <c r="C171" s="25">
        <v>25</v>
      </c>
      <c r="D171" s="71">
        <v>0.02</v>
      </c>
      <c r="E171" s="72">
        <v>3.5099999999999999E-2</v>
      </c>
      <c r="F171" s="73">
        <v>10000</v>
      </c>
      <c r="G171" s="74">
        <f t="shared" si="46"/>
        <v>1.576899264191397</v>
      </c>
      <c r="H171" s="75">
        <f t="shared" si="43"/>
        <v>15768.99264191397</v>
      </c>
      <c r="I171" s="74">
        <f t="shared" si="44"/>
        <v>2.2110221709108755</v>
      </c>
      <c r="J171" s="76">
        <f t="shared" si="45"/>
        <v>7131.992093691948</v>
      </c>
      <c r="N171" s="7"/>
      <c r="O171" s="5"/>
    </row>
    <row r="172" spans="1:15" x14ac:dyDescent="0.25">
      <c r="A172" s="24">
        <v>2041</v>
      </c>
      <c r="B172" s="26" t="s">
        <v>100</v>
      </c>
      <c r="C172" s="25">
        <v>26</v>
      </c>
      <c r="D172" s="71">
        <v>0.02</v>
      </c>
      <c r="E172" s="72">
        <v>3.5099999999999999E-2</v>
      </c>
      <c r="F172" s="73">
        <v>10000</v>
      </c>
      <c r="G172" s="74">
        <f t="shared" ref="G172:G181" si="47">(1+D172)^(C172-$C$108)</f>
        <v>1.608437249475225</v>
      </c>
      <c r="H172" s="75">
        <f t="shared" ref="H172:H181" si="48">F172*((1+D172)^(C172-$C$108))</f>
        <v>16084.37249475225</v>
      </c>
      <c r="I172" s="74">
        <f t="shared" ref="I172:I181" si="49">(1+E172)^(C172-$C$108)</f>
        <v>2.2886290491098471</v>
      </c>
      <c r="J172" s="76">
        <f t="shared" ref="J172:J181" si="50">H172/I172</f>
        <v>7027.9508603669083</v>
      </c>
      <c r="N172" s="7"/>
      <c r="O172" s="5"/>
    </row>
    <row r="173" spans="1:15" x14ac:dyDescent="0.25">
      <c r="A173" s="24">
        <v>2042</v>
      </c>
      <c r="B173" s="26" t="s">
        <v>101</v>
      </c>
      <c r="C173" s="25">
        <v>27</v>
      </c>
      <c r="D173" s="71">
        <v>0.02</v>
      </c>
      <c r="E173" s="72">
        <v>3.5099999999999999E-2</v>
      </c>
      <c r="F173" s="73">
        <v>10000</v>
      </c>
      <c r="G173" s="74">
        <f t="shared" si="47"/>
        <v>1.6406059944647295</v>
      </c>
      <c r="H173" s="75">
        <f t="shared" si="48"/>
        <v>16406.059944647295</v>
      </c>
      <c r="I173" s="74">
        <f t="shared" si="49"/>
        <v>2.3689599287336027</v>
      </c>
      <c r="J173" s="76">
        <f t="shared" si="50"/>
        <v>6925.4273766537017</v>
      </c>
      <c r="N173" s="7"/>
      <c r="O173" s="5"/>
    </row>
    <row r="174" spans="1:15" x14ac:dyDescent="0.25">
      <c r="A174" s="24">
        <v>2043</v>
      </c>
      <c r="B174" s="26" t="s">
        <v>102</v>
      </c>
      <c r="C174" s="25">
        <v>28</v>
      </c>
      <c r="D174" s="71">
        <v>0.02</v>
      </c>
      <c r="E174" s="72">
        <v>3.5099999999999999E-2</v>
      </c>
      <c r="F174" s="73">
        <v>10000</v>
      </c>
      <c r="G174" s="74">
        <f t="shared" si="47"/>
        <v>1.6734181143540243</v>
      </c>
      <c r="H174" s="75">
        <f t="shared" si="48"/>
        <v>16734.181143540241</v>
      </c>
      <c r="I174" s="74">
        <f t="shared" si="49"/>
        <v>2.4521104222321521</v>
      </c>
      <c r="J174" s="76">
        <f t="shared" si="50"/>
        <v>6824.3995016778827</v>
      </c>
      <c r="N174" s="7"/>
      <c r="O174" s="5"/>
    </row>
    <row r="175" spans="1:15" x14ac:dyDescent="0.25">
      <c r="A175" s="24">
        <v>2044</v>
      </c>
      <c r="B175" s="26" t="s">
        <v>103</v>
      </c>
      <c r="C175" s="25">
        <v>29</v>
      </c>
      <c r="D175" s="71">
        <v>0.02</v>
      </c>
      <c r="E175" s="72">
        <v>3.5099999999999999E-2</v>
      </c>
      <c r="F175" s="73">
        <v>10000</v>
      </c>
      <c r="G175" s="74">
        <f t="shared" si="47"/>
        <v>1.7068864766411045</v>
      </c>
      <c r="H175" s="75">
        <f t="shared" si="48"/>
        <v>17068.864766411043</v>
      </c>
      <c r="I175" s="74">
        <f t="shared" si="49"/>
        <v>2.5381794980525001</v>
      </c>
      <c r="J175" s="76">
        <f t="shared" si="50"/>
        <v>6724.8454175552515</v>
      </c>
      <c r="N175" s="7"/>
      <c r="O175" s="5"/>
    </row>
    <row r="176" spans="1:15" x14ac:dyDescent="0.25">
      <c r="A176" s="24">
        <v>2045</v>
      </c>
      <c r="B176" s="26" t="s">
        <v>104</v>
      </c>
      <c r="C176" s="25">
        <v>30</v>
      </c>
      <c r="D176" s="71">
        <v>0.02</v>
      </c>
      <c r="E176" s="72">
        <v>3.5099999999999999E-2</v>
      </c>
      <c r="F176" s="73">
        <v>10000</v>
      </c>
      <c r="G176" s="74">
        <f t="shared" si="47"/>
        <v>1.7410242061739269</v>
      </c>
      <c r="H176" s="75">
        <f t="shared" si="48"/>
        <v>17410.242061739271</v>
      </c>
      <c r="I176" s="74">
        <f t="shared" si="49"/>
        <v>2.6272695984341432</v>
      </c>
      <c r="J176" s="76">
        <f t="shared" si="50"/>
        <v>6626.7436246800871</v>
      </c>
      <c r="N176" s="7"/>
      <c r="O176" s="5"/>
    </row>
    <row r="177" spans="1:15" x14ac:dyDescent="0.25">
      <c r="A177" s="24">
        <v>2046</v>
      </c>
      <c r="B177" s="26" t="s">
        <v>105</v>
      </c>
      <c r="C177" s="25">
        <v>31</v>
      </c>
      <c r="D177" s="71">
        <v>0.02</v>
      </c>
      <c r="E177" s="72">
        <v>3.5099999999999999E-2</v>
      </c>
      <c r="F177" s="73">
        <v>10000</v>
      </c>
      <c r="G177" s="74">
        <f t="shared" si="47"/>
        <v>1.7758446902974052</v>
      </c>
      <c r="H177" s="75">
        <f t="shared" si="48"/>
        <v>17758.446902974054</v>
      </c>
      <c r="I177" s="74">
        <f t="shared" si="49"/>
        <v>2.7194867613391813</v>
      </c>
      <c r="J177" s="76">
        <f t="shared" si="50"/>
        <v>6530.0729370821064</v>
      </c>
      <c r="N177" s="7"/>
      <c r="O177" s="5"/>
    </row>
    <row r="178" spans="1:15" x14ac:dyDescent="0.25">
      <c r="A178" s="24">
        <v>2047</v>
      </c>
      <c r="B178" s="26" t="s">
        <v>106</v>
      </c>
      <c r="C178" s="25">
        <v>32</v>
      </c>
      <c r="D178" s="71">
        <v>0.02</v>
      </c>
      <c r="E178" s="72">
        <v>3.5099999999999999E-2</v>
      </c>
      <c r="F178" s="73">
        <v>10000</v>
      </c>
      <c r="G178" s="74">
        <f t="shared" si="47"/>
        <v>1.8113615841033535</v>
      </c>
      <c r="H178" s="75">
        <f t="shared" si="48"/>
        <v>18113.615841033534</v>
      </c>
      <c r="I178" s="74">
        <f t="shared" si="49"/>
        <v>2.8149407466621863</v>
      </c>
      <c r="J178" s="76">
        <f t="shared" si="50"/>
        <v>6434.8124778511728</v>
      </c>
      <c r="N178" s="7"/>
      <c r="O178" s="5"/>
    </row>
    <row r="179" spans="1:15" x14ac:dyDescent="0.25">
      <c r="A179" s="24">
        <v>2048</v>
      </c>
      <c r="B179" s="26" t="s">
        <v>107</v>
      </c>
      <c r="C179" s="25">
        <v>33</v>
      </c>
      <c r="D179" s="71">
        <v>0.02</v>
      </c>
      <c r="E179" s="72">
        <v>3.5099999999999999E-2</v>
      </c>
      <c r="F179" s="73">
        <v>10000</v>
      </c>
      <c r="G179" s="74">
        <f t="shared" si="47"/>
        <v>1.8475888157854201</v>
      </c>
      <c r="H179" s="75">
        <f t="shared" si="48"/>
        <v>18475.888157854202</v>
      </c>
      <c r="I179" s="74">
        <f t="shared" si="49"/>
        <v>2.9137451668700289</v>
      </c>
      <c r="J179" s="76">
        <f t="shared" si="50"/>
        <v>6340.9416746287279</v>
      </c>
      <c r="N179" s="7"/>
      <c r="O179" s="5"/>
    </row>
    <row r="180" spans="1:15" x14ac:dyDescent="0.25">
      <c r="A180" s="24">
        <v>2049</v>
      </c>
      <c r="B180" s="26" t="s">
        <v>108</v>
      </c>
      <c r="C180" s="25">
        <v>34</v>
      </c>
      <c r="D180" s="71">
        <v>0.02</v>
      </c>
      <c r="E180" s="72">
        <v>3.5099999999999999E-2</v>
      </c>
      <c r="F180" s="73">
        <v>10000</v>
      </c>
      <c r="G180" s="74">
        <f t="shared" si="47"/>
        <v>1.8845405921011289</v>
      </c>
      <c r="H180" s="75">
        <f t="shared" si="48"/>
        <v>18845.40592101129</v>
      </c>
      <c r="I180" s="74">
        <f t="shared" si="49"/>
        <v>3.0160176222271669</v>
      </c>
      <c r="J180" s="76">
        <f t="shared" si="50"/>
        <v>6248.4402551650119</v>
      </c>
      <c r="N180" s="7"/>
      <c r="O180" s="5"/>
    </row>
    <row r="181" spans="1:15" ht="15.75" thickBot="1" x14ac:dyDescent="0.3">
      <c r="A181" s="15">
        <v>2050</v>
      </c>
      <c r="B181" s="16" t="s">
        <v>109</v>
      </c>
      <c r="C181" s="77">
        <v>35</v>
      </c>
      <c r="D181" s="78">
        <v>0.02</v>
      </c>
      <c r="E181" s="79">
        <v>3.5099999999999999E-2</v>
      </c>
      <c r="F181" s="80">
        <v>10000</v>
      </c>
      <c r="G181" s="81">
        <f t="shared" si="47"/>
        <v>1.9222314039431516</v>
      </c>
      <c r="H181" s="82">
        <f t="shared" si="48"/>
        <v>19222.314039431516</v>
      </c>
      <c r="I181" s="81">
        <f t="shared" si="49"/>
        <v>3.12187984076734</v>
      </c>
      <c r="J181" s="83">
        <f t="shared" si="50"/>
        <v>6157.2882429410811</v>
      </c>
      <c r="N181" s="7"/>
      <c r="O181" s="5"/>
    </row>
    <row r="182" spans="1:15" x14ac:dyDescent="0.25">
      <c r="E182" s="5"/>
    </row>
    <row r="183" spans="1:15" ht="15.75" thickBot="1" x14ac:dyDescent="0.3"/>
    <row r="184" spans="1:15" x14ac:dyDescent="0.25">
      <c r="A184" s="54"/>
      <c r="B184" s="96" t="s">
        <v>65</v>
      </c>
      <c r="C184" s="97"/>
      <c r="D184" s="97"/>
      <c r="E184" s="97"/>
      <c r="F184" s="97"/>
      <c r="G184" s="97"/>
      <c r="H184" s="97"/>
      <c r="I184" s="97"/>
      <c r="J184" s="98"/>
    </row>
    <row r="185" spans="1:15" ht="60.75" thickBot="1" x14ac:dyDescent="0.3">
      <c r="A185" s="55"/>
      <c r="B185" s="56"/>
      <c r="C185" s="57"/>
      <c r="D185" s="58" t="s">
        <v>40</v>
      </c>
      <c r="E185" s="58" t="s">
        <v>47</v>
      </c>
      <c r="F185" s="58" t="s">
        <v>39</v>
      </c>
      <c r="G185" s="58" t="s">
        <v>44</v>
      </c>
      <c r="H185" s="59" t="s">
        <v>41</v>
      </c>
      <c r="I185" s="59" t="s">
        <v>43</v>
      </c>
      <c r="J185" s="60" t="s">
        <v>42</v>
      </c>
    </row>
    <row r="186" spans="1:15" ht="15.75" thickBot="1" x14ac:dyDescent="0.3">
      <c r="A186" s="17"/>
      <c r="B186" s="9" t="s">
        <v>52</v>
      </c>
      <c r="C186" s="10"/>
      <c r="D186" s="11"/>
      <c r="E186" s="11"/>
      <c r="F186" s="11"/>
      <c r="G186" s="11"/>
      <c r="H186" s="12"/>
      <c r="I186" s="12"/>
      <c r="J186" s="18">
        <f>SUM(J187:J221)</f>
        <v>542185.37804447406</v>
      </c>
    </row>
    <row r="187" spans="1:15" hidden="1" x14ac:dyDescent="0.25">
      <c r="A187" s="13">
        <v>2016</v>
      </c>
      <c r="B187" s="14" t="s">
        <v>10</v>
      </c>
      <c r="C187" s="14">
        <v>1</v>
      </c>
      <c r="D187" s="20">
        <v>0.02</v>
      </c>
      <c r="E187" s="14">
        <v>0</v>
      </c>
      <c r="F187" s="21">
        <v>0</v>
      </c>
      <c r="G187" s="22">
        <f t="shared" ref="G187" si="51">(1+D187)^(C187-$C$68)</f>
        <v>1</v>
      </c>
      <c r="H187" s="14"/>
      <c r="I187" s="22">
        <f>(1+E190)^(C187-$C$68)</f>
        <v>1</v>
      </c>
      <c r="J187" s="23"/>
    </row>
    <row r="188" spans="1:15" hidden="1" x14ac:dyDescent="0.25">
      <c r="A188" s="24">
        <v>2017</v>
      </c>
      <c r="B188" s="25" t="s">
        <v>11</v>
      </c>
      <c r="C188" s="26">
        <v>2</v>
      </c>
      <c r="D188" s="27">
        <v>0.02</v>
      </c>
      <c r="E188" s="26">
        <v>0</v>
      </c>
      <c r="F188" s="28">
        <v>0</v>
      </c>
      <c r="G188" s="29">
        <f t="shared" ref="G188" si="52">(1+D188)^(C188-$C$108)</f>
        <v>1</v>
      </c>
      <c r="H188" s="26"/>
      <c r="I188" s="29">
        <f t="shared" ref="I188:I190" si="53">(1+E188)^(C188-$C$189)</f>
        <v>1</v>
      </c>
      <c r="J188" s="30"/>
    </row>
    <row r="189" spans="1:15" x14ac:dyDescent="0.25">
      <c r="A189" s="13">
        <v>2018</v>
      </c>
      <c r="B189" s="41" t="s">
        <v>12</v>
      </c>
      <c r="C189" s="14">
        <v>3</v>
      </c>
      <c r="D189" s="20">
        <v>0.02</v>
      </c>
      <c r="E189" s="14">
        <v>0</v>
      </c>
      <c r="F189" s="21">
        <v>0</v>
      </c>
      <c r="G189" s="22">
        <f t="shared" ref="G189:G191" si="54">(1+D189)^(C189-$C$189)</f>
        <v>1</v>
      </c>
      <c r="H189" s="14"/>
      <c r="I189" s="22">
        <f t="shared" si="53"/>
        <v>1</v>
      </c>
      <c r="J189" s="23"/>
    </row>
    <row r="190" spans="1:15" x14ac:dyDescent="0.25">
      <c r="A190" s="24">
        <v>2019</v>
      </c>
      <c r="B190" s="25" t="s">
        <v>13</v>
      </c>
      <c r="C190" s="26">
        <v>4</v>
      </c>
      <c r="D190" s="27">
        <v>0.02</v>
      </c>
      <c r="E190" s="33">
        <v>1.8450000000000001E-2</v>
      </c>
      <c r="F190" s="28">
        <v>0</v>
      </c>
      <c r="G190" s="29">
        <f t="shared" si="54"/>
        <v>1.02</v>
      </c>
      <c r="H190" s="26"/>
      <c r="I190" s="29">
        <f t="shared" si="53"/>
        <v>1.0184500000000001</v>
      </c>
      <c r="J190" s="30"/>
    </row>
    <row r="191" spans="1:15" x14ac:dyDescent="0.25">
      <c r="A191" s="24">
        <v>2020</v>
      </c>
      <c r="B191" s="26" t="s">
        <v>14</v>
      </c>
      <c r="C191" s="26">
        <v>5</v>
      </c>
      <c r="D191" s="27">
        <v>0.02</v>
      </c>
      <c r="E191" s="33">
        <v>1.9199999999999998E-2</v>
      </c>
      <c r="F191" s="28">
        <v>300000</v>
      </c>
      <c r="G191" s="29">
        <f t="shared" si="54"/>
        <v>1.0404</v>
      </c>
      <c r="H191" s="31">
        <f>F191*((1+D191)^(C191-$C$189))</f>
        <v>312120</v>
      </c>
      <c r="I191" s="29">
        <f t="shared" ref="I191:I211" si="55">(1+E191)^(C191-$C$189)</f>
        <v>1.0387686400000002</v>
      </c>
      <c r="J191" s="32">
        <f>H191/I191</f>
        <v>300471.14244804304</v>
      </c>
    </row>
    <row r="192" spans="1:15" x14ac:dyDescent="0.25">
      <c r="A192" s="24">
        <v>2021</v>
      </c>
      <c r="B192" s="26" t="s">
        <v>15</v>
      </c>
      <c r="C192" s="26">
        <v>6</v>
      </c>
      <c r="D192" s="27">
        <v>0.02</v>
      </c>
      <c r="E192" s="33">
        <v>1.9789999999999999E-2</v>
      </c>
      <c r="F192" s="28">
        <v>10000</v>
      </c>
      <c r="G192" s="29">
        <f t="shared" ref="G192:G211" si="56">(1+D192)^(C192-$C$189)</f>
        <v>1.0612079999999999</v>
      </c>
      <c r="H192" s="31">
        <f t="shared" ref="H192:H211" si="57">F192*((1+D192)^(C192-$C$189))</f>
        <v>10612.08</v>
      </c>
      <c r="I192" s="29">
        <f t="shared" si="55"/>
        <v>1.0605526829367389</v>
      </c>
      <c r="J192" s="32">
        <f t="shared" ref="J192:J211" si="58">H192/I192</f>
        <v>10006.179014713785</v>
      </c>
    </row>
    <row r="193" spans="1:10" x14ac:dyDescent="0.25">
      <c r="A193" s="24">
        <v>2022</v>
      </c>
      <c r="B193" s="26" t="s">
        <v>16</v>
      </c>
      <c r="C193" s="26">
        <v>7</v>
      </c>
      <c r="D193" s="27">
        <v>0.02</v>
      </c>
      <c r="E193" s="33">
        <v>2.0119999999999999E-2</v>
      </c>
      <c r="F193" s="28">
        <v>10000</v>
      </c>
      <c r="G193" s="29">
        <f t="shared" si="56"/>
        <v>1.08243216</v>
      </c>
      <c r="H193" s="31">
        <f t="shared" si="57"/>
        <v>10824.321599999999</v>
      </c>
      <c r="I193" s="29">
        <f t="shared" si="55"/>
        <v>1.08294162973761</v>
      </c>
      <c r="J193" s="32">
        <f t="shared" si="58"/>
        <v>9995.2955014045074</v>
      </c>
    </row>
    <row r="194" spans="1:10" x14ac:dyDescent="0.25">
      <c r="A194" s="24">
        <v>2023</v>
      </c>
      <c r="B194" s="26" t="s">
        <v>17</v>
      </c>
      <c r="C194" s="26">
        <v>8</v>
      </c>
      <c r="D194" s="27">
        <v>0.02</v>
      </c>
      <c r="E194" s="33">
        <v>2.197E-2</v>
      </c>
      <c r="F194" s="28">
        <v>10000</v>
      </c>
      <c r="G194" s="29">
        <f t="shared" si="56"/>
        <v>1.1040808032</v>
      </c>
      <c r="H194" s="31">
        <f t="shared" si="57"/>
        <v>11040.808032000001</v>
      </c>
      <c r="I194" s="29">
        <f t="shared" si="55"/>
        <v>1.1147840240165758</v>
      </c>
      <c r="J194" s="32">
        <f t="shared" si="58"/>
        <v>9903.9883907017975</v>
      </c>
    </row>
    <row r="195" spans="1:10" x14ac:dyDescent="0.25">
      <c r="A195" s="24">
        <v>2024</v>
      </c>
      <c r="B195" s="26" t="s">
        <v>18</v>
      </c>
      <c r="C195" s="26">
        <v>9</v>
      </c>
      <c r="D195" s="27">
        <v>0.02</v>
      </c>
      <c r="E195" s="33">
        <v>2.383E-2</v>
      </c>
      <c r="F195" s="28">
        <v>10000</v>
      </c>
      <c r="G195" s="29">
        <f t="shared" si="56"/>
        <v>1.1261624192640001</v>
      </c>
      <c r="H195" s="31">
        <f t="shared" si="57"/>
        <v>11261.62419264</v>
      </c>
      <c r="I195" s="29">
        <f t="shared" si="55"/>
        <v>1.1517735632346653</v>
      </c>
      <c r="J195" s="32">
        <f t="shared" si="58"/>
        <v>9777.6373343842133</v>
      </c>
    </row>
    <row r="196" spans="1:10" x14ac:dyDescent="0.25">
      <c r="A196" s="24">
        <v>2025</v>
      </c>
      <c r="B196" s="26" t="s">
        <v>19</v>
      </c>
      <c r="C196" s="26">
        <v>10</v>
      </c>
      <c r="D196" s="27">
        <v>0.02</v>
      </c>
      <c r="E196" s="33">
        <v>2.547E-2</v>
      </c>
      <c r="F196" s="28">
        <v>10000</v>
      </c>
      <c r="G196" s="29">
        <f t="shared" si="56"/>
        <v>1.1486856676492798</v>
      </c>
      <c r="H196" s="31">
        <f t="shared" si="57"/>
        <v>11486.856676492798</v>
      </c>
      <c r="I196" s="29">
        <f t="shared" si="55"/>
        <v>1.1925063975165731</v>
      </c>
      <c r="J196" s="32">
        <f t="shared" si="58"/>
        <v>9632.5325385377291</v>
      </c>
    </row>
    <row r="197" spans="1:10" x14ac:dyDescent="0.25">
      <c r="A197" s="24">
        <v>2026</v>
      </c>
      <c r="B197" s="26" t="s">
        <v>20</v>
      </c>
      <c r="C197" s="26">
        <v>11</v>
      </c>
      <c r="D197" s="27">
        <v>0.02</v>
      </c>
      <c r="E197" s="33">
        <v>2.6919999999999999E-2</v>
      </c>
      <c r="F197" s="28">
        <v>10000</v>
      </c>
      <c r="G197" s="29">
        <f t="shared" si="56"/>
        <v>1.1716593810022655</v>
      </c>
      <c r="H197" s="31">
        <f t="shared" si="57"/>
        <v>11716.593810022656</v>
      </c>
      <c r="I197" s="29">
        <f t="shared" si="55"/>
        <v>1.2367812628116466</v>
      </c>
      <c r="J197" s="32">
        <f t="shared" si="58"/>
        <v>9473.4567561176045</v>
      </c>
    </row>
    <row r="198" spans="1:10" x14ac:dyDescent="0.25">
      <c r="A198" s="24">
        <v>2027</v>
      </c>
      <c r="B198" s="26" t="s">
        <v>21</v>
      </c>
      <c r="C198" s="26">
        <v>12</v>
      </c>
      <c r="D198" s="27">
        <v>0.02</v>
      </c>
      <c r="E198" s="33">
        <v>2.8379999999999999E-2</v>
      </c>
      <c r="F198" s="28">
        <v>10000</v>
      </c>
      <c r="G198" s="29">
        <f t="shared" si="56"/>
        <v>1.1950925686223108</v>
      </c>
      <c r="H198" s="31">
        <f t="shared" si="57"/>
        <v>11950.925686223109</v>
      </c>
      <c r="I198" s="29">
        <f t="shared" si="55"/>
        <v>1.2864194471321551</v>
      </c>
      <c r="J198" s="32">
        <f t="shared" si="58"/>
        <v>9290.0692016632565</v>
      </c>
    </row>
    <row r="199" spans="1:10" x14ac:dyDescent="0.25">
      <c r="A199" s="24">
        <v>2028</v>
      </c>
      <c r="B199" s="26" t="s">
        <v>22</v>
      </c>
      <c r="C199" s="26">
        <v>13</v>
      </c>
      <c r="D199" s="27">
        <v>0.02</v>
      </c>
      <c r="E199" s="33">
        <v>2.9250000000000002E-2</v>
      </c>
      <c r="F199" s="28">
        <v>10000</v>
      </c>
      <c r="G199" s="29">
        <f t="shared" si="56"/>
        <v>1.2189944199947571</v>
      </c>
      <c r="H199" s="31">
        <f t="shared" si="57"/>
        <v>12189.944199947571</v>
      </c>
      <c r="I199" s="29">
        <f t="shared" si="55"/>
        <v>1.3341625833999931</v>
      </c>
      <c r="J199" s="32">
        <f t="shared" si="58"/>
        <v>9136.7756461004901</v>
      </c>
    </row>
    <row r="200" spans="1:10" x14ac:dyDescent="0.25">
      <c r="A200" s="24">
        <v>2029</v>
      </c>
      <c r="B200" s="26" t="s">
        <v>23</v>
      </c>
      <c r="C200" s="26">
        <v>14</v>
      </c>
      <c r="D200" s="27">
        <v>0.02</v>
      </c>
      <c r="E200" s="33">
        <v>2.9659999999999999E-2</v>
      </c>
      <c r="F200" s="28">
        <v>10000</v>
      </c>
      <c r="G200" s="29">
        <f t="shared" si="56"/>
        <v>1.243374308394652</v>
      </c>
      <c r="H200" s="31">
        <f t="shared" si="57"/>
        <v>12433.74308394652</v>
      </c>
      <c r="I200" s="29">
        <f t="shared" si="55"/>
        <v>1.3792159110038158</v>
      </c>
      <c r="J200" s="32">
        <f t="shared" si="58"/>
        <v>9015.0809490713018</v>
      </c>
    </row>
    <row r="201" spans="1:10" x14ac:dyDescent="0.25">
      <c r="A201" s="24">
        <v>2030</v>
      </c>
      <c r="B201" s="26" t="s">
        <v>24</v>
      </c>
      <c r="C201" s="26">
        <v>15</v>
      </c>
      <c r="D201" s="27">
        <v>0.02</v>
      </c>
      <c r="E201" s="33">
        <v>3.0540000000000001E-2</v>
      </c>
      <c r="F201" s="28">
        <v>10000</v>
      </c>
      <c r="G201" s="29">
        <f t="shared" si="56"/>
        <v>1.2682417945625453</v>
      </c>
      <c r="H201" s="31">
        <f t="shared" si="57"/>
        <v>12682.417945625453</v>
      </c>
      <c r="I201" s="29">
        <f t="shared" si="55"/>
        <v>1.4347566320589649</v>
      </c>
      <c r="J201" s="32">
        <f t="shared" si="58"/>
        <v>8839.421029492225</v>
      </c>
    </row>
    <row r="202" spans="1:10" x14ac:dyDescent="0.25">
      <c r="A202" s="24">
        <v>2031</v>
      </c>
      <c r="B202" s="26" t="s">
        <v>25</v>
      </c>
      <c r="C202" s="26">
        <v>16</v>
      </c>
      <c r="D202" s="27">
        <v>0.02</v>
      </c>
      <c r="E202" s="33">
        <v>3.1E-2</v>
      </c>
      <c r="F202" s="28">
        <v>10000</v>
      </c>
      <c r="G202" s="29">
        <f t="shared" si="56"/>
        <v>1.2936066304537961</v>
      </c>
      <c r="H202" s="31">
        <f t="shared" si="57"/>
        <v>12936.066304537961</v>
      </c>
      <c r="I202" s="29">
        <f t="shared" si="55"/>
        <v>1.4871769605171099</v>
      </c>
      <c r="J202" s="32">
        <f t="shared" si="58"/>
        <v>8698.4041899357617</v>
      </c>
    </row>
    <row r="203" spans="1:10" x14ac:dyDescent="0.25">
      <c r="A203" s="24">
        <v>2032</v>
      </c>
      <c r="B203" s="26" t="s">
        <v>26</v>
      </c>
      <c r="C203" s="26">
        <v>17</v>
      </c>
      <c r="D203" s="27">
        <v>0.02</v>
      </c>
      <c r="E203" s="33">
        <v>3.1980000000000001E-2</v>
      </c>
      <c r="F203" s="28">
        <v>10000</v>
      </c>
      <c r="G203" s="29">
        <f t="shared" si="56"/>
        <v>1.3194787630628722</v>
      </c>
      <c r="H203" s="31">
        <f t="shared" si="57"/>
        <v>13194.787630628722</v>
      </c>
      <c r="I203" s="29">
        <f t="shared" si="55"/>
        <v>1.5538100606365834</v>
      </c>
      <c r="J203" s="32">
        <f t="shared" si="58"/>
        <v>8491.8922620586745</v>
      </c>
    </row>
    <row r="204" spans="1:10" x14ac:dyDescent="0.25">
      <c r="A204" s="24">
        <v>2033</v>
      </c>
      <c r="B204" s="26" t="s">
        <v>27</v>
      </c>
      <c r="C204" s="26">
        <v>18</v>
      </c>
      <c r="D204" s="27">
        <v>0.02</v>
      </c>
      <c r="E204" s="33">
        <v>3.1980000000000001E-2</v>
      </c>
      <c r="F204" s="28">
        <v>10000</v>
      </c>
      <c r="G204" s="29">
        <f t="shared" si="56"/>
        <v>1.3458683383241292</v>
      </c>
      <c r="H204" s="31">
        <f t="shared" si="57"/>
        <v>13458.683383241292</v>
      </c>
      <c r="I204" s="29">
        <f t="shared" si="55"/>
        <v>1.6035009063757411</v>
      </c>
      <c r="J204" s="32">
        <f t="shared" si="58"/>
        <v>8393.3119898639961</v>
      </c>
    </row>
    <row r="205" spans="1:10" x14ac:dyDescent="0.25">
      <c r="A205" s="24">
        <v>2034</v>
      </c>
      <c r="B205" s="26" t="s">
        <v>28</v>
      </c>
      <c r="C205" s="26">
        <v>19</v>
      </c>
      <c r="D205" s="27">
        <v>0.02</v>
      </c>
      <c r="E205" s="33">
        <v>3.1980000000000001E-2</v>
      </c>
      <c r="F205" s="28">
        <v>10000</v>
      </c>
      <c r="G205" s="29">
        <f t="shared" si="56"/>
        <v>1.372785705090612</v>
      </c>
      <c r="H205" s="31">
        <f t="shared" si="57"/>
        <v>13727.857050906121</v>
      </c>
      <c r="I205" s="29">
        <f t="shared" si="55"/>
        <v>1.6547808653616372</v>
      </c>
      <c r="J205" s="32">
        <f t="shared" si="58"/>
        <v>8295.8761116119294</v>
      </c>
    </row>
    <row r="206" spans="1:10" x14ac:dyDescent="0.25">
      <c r="A206" s="24">
        <v>2035</v>
      </c>
      <c r="B206" s="26" t="s">
        <v>29</v>
      </c>
      <c r="C206" s="26">
        <v>20</v>
      </c>
      <c r="D206" s="27">
        <v>0.02</v>
      </c>
      <c r="E206" s="33">
        <v>3.1980000000000001E-2</v>
      </c>
      <c r="F206" s="28">
        <v>10000</v>
      </c>
      <c r="G206" s="29">
        <f t="shared" si="56"/>
        <v>1.4002414191924244</v>
      </c>
      <c r="H206" s="31">
        <f t="shared" si="57"/>
        <v>14002.414191924245</v>
      </c>
      <c r="I206" s="29">
        <f t="shared" si="55"/>
        <v>1.7077007574359022</v>
      </c>
      <c r="J206" s="32">
        <f t="shared" si="58"/>
        <v>8199.5713423168745</v>
      </c>
    </row>
    <row r="207" spans="1:10" x14ac:dyDescent="0.25">
      <c r="A207" s="24">
        <v>2036</v>
      </c>
      <c r="B207" s="26" t="s">
        <v>30</v>
      </c>
      <c r="C207" s="26">
        <v>21</v>
      </c>
      <c r="D207" s="27">
        <v>0.02</v>
      </c>
      <c r="E207" s="33">
        <v>3.3669999999999999E-2</v>
      </c>
      <c r="F207" s="28">
        <v>10000</v>
      </c>
      <c r="G207" s="29">
        <f t="shared" si="56"/>
        <v>1.4282462475762727</v>
      </c>
      <c r="H207" s="31">
        <f t="shared" si="57"/>
        <v>14282.462475762728</v>
      </c>
      <c r="I207" s="29">
        <f t="shared" si="55"/>
        <v>1.8149907509376895</v>
      </c>
      <c r="J207" s="32">
        <f t="shared" si="58"/>
        <v>7869.1654314953912</v>
      </c>
    </row>
    <row r="208" spans="1:10" x14ac:dyDescent="0.25">
      <c r="A208" s="24">
        <v>2037</v>
      </c>
      <c r="B208" s="26" t="s">
        <v>31</v>
      </c>
      <c r="C208" s="26">
        <v>22</v>
      </c>
      <c r="D208" s="27">
        <v>0.02</v>
      </c>
      <c r="E208" s="33">
        <v>3.4200000000000001E-2</v>
      </c>
      <c r="F208" s="28">
        <v>10000</v>
      </c>
      <c r="G208" s="29">
        <f t="shared" si="56"/>
        <v>1.4568111725277981</v>
      </c>
      <c r="H208" s="31">
        <f t="shared" si="57"/>
        <v>14568.11172527798</v>
      </c>
      <c r="I208" s="29">
        <f t="shared" si="55"/>
        <v>1.8944630332534185</v>
      </c>
      <c r="J208" s="32">
        <f t="shared" si="58"/>
        <v>7689.836892863369</v>
      </c>
    </row>
    <row r="209" spans="1:10" x14ac:dyDescent="0.25">
      <c r="A209" s="24">
        <v>2038</v>
      </c>
      <c r="B209" s="26" t="s">
        <v>32</v>
      </c>
      <c r="C209" s="26">
        <v>23</v>
      </c>
      <c r="D209" s="27">
        <v>0.02</v>
      </c>
      <c r="E209" s="33">
        <v>3.4799999999999998E-2</v>
      </c>
      <c r="F209" s="28">
        <v>10000</v>
      </c>
      <c r="G209" s="29">
        <f t="shared" si="56"/>
        <v>1.4859473959783542</v>
      </c>
      <c r="H209" s="31">
        <f t="shared" si="57"/>
        <v>14859.473959783543</v>
      </c>
      <c r="I209" s="29">
        <f t="shared" si="55"/>
        <v>1.9821129587602895</v>
      </c>
      <c r="J209" s="32">
        <f t="shared" si="58"/>
        <v>7496.784627793053</v>
      </c>
    </row>
    <row r="210" spans="1:10" x14ac:dyDescent="0.25">
      <c r="A210" s="24">
        <v>2039</v>
      </c>
      <c r="B210" s="26" t="s">
        <v>33</v>
      </c>
      <c r="C210" s="26">
        <v>24</v>
      </c>
      <c r="D210" s="27">
        <v>0.02</v>
      </c>
      <c r="E210" s="72">
        <v>3.5000000000000003E-2</v>
      </c>
      <c r="F210" s="73">
        <v>10000</v>
      </c>
      <c r="G210" s="29">
        <f t="shared" si="56"/>
        <v>1.5156663438979212</v>
      </c>
      <c r="H210" s="31">
        <f t="shared" si="57"/>
        <v>15156.663438979213</v>
      </c>
      <c r="I210" s="29">
        <f t="shared" si="55"/>
        <v>2.0594314736871469</v>
      </c>
      <c r="J210" s="32">
        <f t="shared" si="58"/>
        <v>7359.6347499939675</v>
      </c>
    </row>
    <row r="211" spans="1:10" x14ac:dyDescent="0.25">
      <c r="A211" s="24">
        <v>2040</v>
      </c>
      <c r="B211" s="26" t="s">
        <v>34</v>
      </c>
      <c r="C211" s="26">
        <v>25</v>
      </c>
      <c r="D211" s="27">
        <v>0.02</v>
      </c>
      <c r="E211" s="72">
        <v>3.5049999999999998E-2</v>
      </c>
      <c r="F211" s="73">
        <v>10000</v>
      </c>
      <c r="G211" s="29">
        <f t="shared" si="56"/>
        <v>1.5459796707758797</v>
      </c>
      <c r="H211" s="31">
        <f t="shared" si="57"/>
        <v>15459.796707758796</v>
      </c>
      <c r="I211" s="29">
        <f t="shared" si="55"/>
        <v>2.1337780993604949</v>
      </c>
      <c r="J211" s="32">
        <f t="shared" si="58"/>
        <v>7245.2691835164032</v>
      </c>
    </row>
    <row r="212" spans="1:10" x14ac:dyDescent="0.25">
      <c r="A212" s="24">
        <v>2041</v>
      </c>
      <c r="B212" s="26" t="s">
        <v>100</v>
      </c>
      <c r="C212" s="26">
        <v>26</v>
      </c>
      <c r="D212" s="27">
        <v>0.02</v>
      </c>
      <c r="E212" s="72">
        <v>3.5049999999999998E-2</v>
      </c>
      <c r="F212" s="73">
        <v>10000</v>
      </c>
      <c r="G212" s="29">
        <f t="shared" ref="G212:G221" si="59">(1+D212)^(C212-$C$189)</f>
        <v>1.576899264191397</v>
      </c>
      <c r="H212" s="31">
        <f t="shared" ref="H212:H221" si="60">F212*((1+D212)^(C212-$C$189))</f>
        <v>15768.99264191397</v>
      </c>
      <c r="I212" s="29">
        <f t="shared" ref="I212:I221" si="61">(1+E212)^(C212-$C$189)</f>
        <v>2.2085670217430802</v>
      </c>
      <c r="J212" s="32">
        <f t="shared" ref="J212:J221" si="62">H212/I212</f>
        <v>7139.920358617198</v>
      </c>
    </row>
    <row r="213" spans="1:10" x14ac:dyDescent="0.25">
      <c r="A213" s="24">
        <v>2042</v>
      </c>
      <c r="B213" s="26" t="s">
        <v>101</v>
      </c>
      <c r="C213" s="26">
        <v>27</v>
      </c>
      <c r="D213" s="27">
        <v>0.02</v>
      </c>
      <c r="E213" s="72">
        <v>3.5049999999999998E-2</v>
      </c>
      <c r="F213" s="73">
        <v>10000</v>
      </c>
      <c r="G213" s="29">
        <f t="shared" si="59"/>
        <v>1.608437249475225</v>
      </c>
      <c r="H213" s="31">
        <f t="shared" si="60"/>
        <v>16084.37249475225</v>
      </c>
      <c r="I213" s="29">
        <f t="shared" si="61"/>
        <v>2.2859772958551754</v>
      </c>
      <c r="J213" s="32">
        <f t="shared" si="62"/>
        <v>7036.1033435964846</v>
      </c>
    </row>
    <row r="214" spans="1:10" x14ac:dyDescent="0.25">
      <c r="A214" s="24">
        <v>2043</v>
      </c>
      <c r="B214" s="26" t="s">
        <v>102</v>
      </c>
      <c r="C214" s="26">
        <v>28</v>
      </c>
      <c r="D214" s="27">
        <v>0.02</v>
      </c>
      <c r="E214" s="72">
        <v>3.5049999999999998E-2</v>
      </c>
      <c r="F214" s="73">
        <v>10000</v>
      </c>
      <c r="G214" s="29">
        <f t="shared" si="59"/>
        <v>1.6406059944647295</v>
      </c>
      <c r="H214" s="31">
        <f t="shared" si="60"/>
        <v>16406.059944647295</v>
      </c>
      <c r="I214" s="29">
        <f t="shared" si="61"/>
        <v>2.3661008000748991</v>
      </c>
      <c r="J214" s="32">
        <f t="shared" si="62"/>
        <v>6933.7958653866144</v>
      </c>
    </row>
    <row r="215" spans="1:10" x14ac:dyDescent="0.25">
      <c r="A215" s="24">
        <v>2044</v>
      </c>
      <c r="B215" s="26" t="s">
        <v>103</v>
      </c>
      <c r="C215" s="26">
        <v>29</v>
      </c>
      <c r="D215" s="27">
        <v>0.02</v>
      </c>
      <c r="E215" s="72">
        <v>3.5049999999999998E-2</v>
      </c>
      <c r="F215" s="73">
        <v>10000</v>
      </c>
      <c r="G215" s="29">
        <f t="shared" si="59"/>
        <v>1.6734181143540243</v>
      </c>
      <c r="H215" s="31">
        <f t="shared" si="60"/>
        <v>16734.181143540241</v>
      </c>
      <c r="I215" s="29">
        <f t="shared" si="61"/>
        <v>2.4490326331175245</v>
      </c>
      <c r="J215" s="32">
        <f t="shared" si="62"/>
        <v>6832.9759747783646</v>
      </c>
    </row>
    <row r="216" spans="1:10" x14ac:dyDescent="0.25">
      <c r="A216" s="24">
        <v>2045</v>
      </c>
      <c r="B216" s="26" t="s">
        <v>104</v>
      </c>
      <c r="C216" s="26">
        <v>30</v>
      </c>
      <c r="D216" s="27">
        <v>0.02</v>
      </c>
      <c r="E216" s="72">
        <v>3.5049999999999998E-2</v>
      </c>
      <c r="F216" s="73">
        <v>10000</v>
      </c>
      <c r="G216" s="29">
        <f t="shared" si="59"/>
        <v>1.7068864766411045</v>
      </c>
      <c r="H216" s="31">
        <f t="shared" si="60"/>
        <v>17068.864766411043</v>
      </c>
      <c r="I216" s="29">
        <f t="shared" si="61"/>
        <v>2.5348712269082938</v>
      </c>
      <c r="J216" s="32">
        <f t="shared" si="62"/>
        <v>6733.6220417119275</v>
      </c>
    </row>
    <row r="217" spans="1:10" x14ac:dyDescent="0.25">
      <c r="A217" s="24">
        <v>2046</v>
      </c>
      <c r="B217" s="26" t="s">
        <v>105</v>
      </c>
      <c r="C217" s="26">
        <v>31</v>
      </c>
      <c r="D217" s="27">
        <v>0.02</v>
      </c>
      <c r="E217" s="72">
        <v>3.5049999999999998E-2</v>
      </c>
      <c r="F217" s="73">
        <v>10000</v>
      </c>
      <c r="G217" s="29">
        <f t="shared" si="59"/>
        <v>1.7410242061739269</v>
      </c>
      <c r="H217" s="31">
        <f t="shared" si="60"/>
        <v>17410.242061739271</v>
      </c>
      <c r="I217" s="29">
        <f t="shared" si="61"/>
        <v>2.6237184634114299</v>
      </c>
      <c r="J217" s="32">
        <f t="shared" si="62"/>
        <v>6635.7127506363631</v>
      </c>
    </row>
    <row r="218" spans="1:10" x14ac:dyDescent="0.25">
      <c r="A218" s="24">
        <v>2047</v>
      </c>
      <c r="B218" s="26" t="s">
        <v>106</v>
      </c>
      <c r="C218" s="26">
        <v>32</v>
      </c>
      <c r="D218" s="27">
        <v>0.02</v>
      </c>
      <c r="E218" s="72">
        <v>3.5049999999999998E-2</v>
      </c>
      <c r="F218" s="73">
        <v>10000</v>
      </c>
      <c r="G218" s="29">
        <f t="shared" si="59"/>
        <v>1.7758446902974052</v>
      </c>
      <c r="H218" s="31">
        <f t="shared" si="60"/>
        <v>17758.446902974054</v>
      </c>
      <c r="I218" s="29">
        <f t="shared" si="61"/>
        <v>2.7156797955540006</v>
      </c>
      <c r="J218" s="32">
        <f t="shared" si="62"/>
        <v>6539.2270959365142</v>
      </c>
    </row>
    <row r="219" spans="1:10" x14ac:dyDescent="0.25">
      <c r="A219" s="24">
        <v>2048</v>
      </c>
      <c r="B219" s="26" t="s">
        <v>107</v>
      </c>
      <c r="C219" s="26">
        <v>33</v>
      </c>
      <c r="D219" s="27">
        <v>0.02</v>
      </c>
      <c r="E219" s="72">
        <v>3.5049999999999998E-2</v>
      </c>
      <c r="F219" s="73">
        <v>10000</v>
      </c>
      <c r="G219" s="29">
        <f t="shared" si="59"/>
        <v>1.8113615841033535</v>
      </c>
      <c r="H219" s="31">
        <f t="shared" si="60"/>
        <v>18113.615841033534</v>
      </c>
      <c r="I219" s="29">
        <f t="shared" si="61"/>
        <v>2.8108643723881688</v>
      </c>
      <c r="J219" s="32">
        <f t="shared" si="62"/>
        <v>6444.1443774264462</v>
      </c>
    </row>
    <row r="220" spans="1:10" x14ac:dyDescent="0.25">
      <c r="A220" s="24">
        <v>2049</v>
      </c>
      <c r="B220" s="26" t="s">
        <v>108</v>
      </c>
      <c r="C220" s="26">
        <v>34</v>
      </c>
      <c r="D220" s="27">
        <v>0.02</v>
      </c>
      <c r="E220" s="72">
        <v>3.5049999999999998E-2</v>
      </c>
      <c r="F220" s="73">
        <v>10000</v>
      </c>
      <c r="G220" s="29">
        <f t="shared" si="59"/>
        <v>1.8475888157854201</v>
      </c>
      <c r="H220" s="31">
        <f t="shared" si="60"/>
        <v>18475.888157854202</v>
      </c>
      <c r="I220" s="29">
        <f t="shared" si="61"/>
        <v>2.9093851686403744</v>
      </c>
      <c r="J220" s="32">
        <f t="shared" si="62"/>
        <v>6350.4441959083842</v>
      </c>
    </row>
    <row r="221" spans="1:10" ht="15.75" thickBot="1" x14ac:dyDescent="0.3">
      <c r="A221" s="15">
        <v>2050</v>
      </c>
      <c r="B221" s="16" t="s">
        <v>109</v>
      </c>
      <c r="C221" s="16">
        <v>35</v>
      </c>
      <c r="D221" s="34">
        <v>0.02</v>
      </c>
      <c r="E221" s="79">
        <v>3.5049999999999998E-2</v>
      </c>
      <c r="F221" s="80">
        <v>10000</v>
      </c>
      <c r="G221" s="37">
        <f t="shared" si="59"/>
        <v>1.8845405921011289</v>
      </c>
      <c r="H221" s="38">
        <f t="shared" si="60"/>
        <v>18845.40592101129</v>
      </c>
      <c r="I221" s="37">
        <f t="shared" si="61"/>
        <v>3.0113591188012196</v>
      </c>
      <c r="J221" s="39">
        <f t="shared" si="62"/>
        <v>6258.1064487962449</v>
      </c>
    </row>
    <row r="223" spans="1:10" ht="15.75" thickBot="1" x14ac:dyDescent="0.3"/>
    <row r="224" spans="1:10" x14ac:dyDescent="0.25">
      <c r="A224" s="54"/>
      <c r="B224" s="96" t="s">
        <v>93</v>
      </c>
      <c r="C224" s="97"/>
      <c r="D224" s="97"/>
      <c r="E224" s="97"/>
      <c r="F224" s="97"/>
      <c r="G224" s="97"/>
      <c r="H224" s="97"/>
      <c r="I224" s="97"/>
      <c r="J224" s="98"/>
    </row>
    <row r="225" spans="1:10" ht="60.75" thickBot="1" x14ac:dyDescent="0.3">
      <c r="A225" s="55"/>
      <c r="B225" s="56"/>
      <c r="C225" s="57"/>
      <c r="D225" s="58" t="s">
        <v>40</v>
      </c>
      <c r="E225" s="58" t="s">
        <v>47</v>
      </c>
      <c r="F225" s="58" t="s">
        <v>39</v>
      </c>
      <c r="G225" s="58" t="s">
        <v>44</v>
      </c>
      <c r="H225" s="59" t="s">
        <v>41</v>
      </c>
      <c r="I225" s="59" t="s">
        <v>43</v>
      </c>
      <c r="J225" s="60" t="s">
        <v>42</v>
      </c>
    </row>
    <row r="226" spans="1:10" ht="15.75" thickBot="1" x14ac:dyDescent="0.3">
      <c r="A226" s="17"/>
      <c r="B226" s="9" t="s">
        <v>53</v>
      </c>
      <c r="C226" s="10"/>
      <c r="D226" s="11"/>
      <c r="E226" s="11"/>
      <c r="F226" s="11"/>
      <c r="G226" s="11"/>
      <c r="H226" s="12"/>
      <c r="I226" s="12"/>
      <c r="J226" s="18">
        <f>SUM(J227:J261)</f>
        <v>543911.30405897927</v>
      </c>
    </row>
    <row r="227" spans="1:10" hidden="1" x14ac:dyDescent="0.25">
      <c r="A227">
        <v>2016</v>
      </c>
      <c r="B227" t="s">
        <v>10</v>
      </c>
      <c r="C227">
        <v>1</v>
      </c>
      <c r="D227" s="4">
        <v>0.02</v>
      </c>
      <c r="E227" s="4">
        <v>0</v>
      </c>
      <c r="F227" s="1">
        <v>0</v>
      </c>
      <c r="G227" s="7">
        <f t="shared" ref="G227" si="63">(1+D227)^(C227-$C$68)</f>
        <v>1</v>
      </c>
      <c r="I227" s="7">
        <f t="shared" ref="I227:I230" si="64">(1+E227)^(C227-$C$189)</f>
        <v>1</v>
      </c>
    </row>
    <row r="228" spans="1:10" hidden="1" x14ac:dyDescent="0.25">
      <c r="A228">
        <v>2017</v>
      </c>
      <c r="B228" s="19" t="s">
        <v>11</v>
      </c>
      <c r="C228">
        <v>2</v>
      </c>
      <c r="D228" s="4">
        <v>0.02</v>
      </c>
      <c r="E228" s="4">
        <v>0</v>
      </c>
      <c r="F228" s="1">
        <v>0</v>
      </c>
      <c r="G228" s="7">
        <f t="shared" ref="G228" si="65">(1+D228)^(C228-$C$108)</f>
        <v>1</v>
      </c>
      <c r="I228" s="7">
        <f t="shared" si="64"/>
        <v>1</v>
      </c>
    </row>
    <row r="229" spans="1:10" ht="15.75" hidden="1" thickBot="1" x14ac:dyDescent="0.3">
      <c r="A229">
        <v>2018</v>
      </c>
      <c r="B229" s="19" t="s">
        <v>12</v>
      </c>
      <c r="C229">
        <v>3</v>
      </c>
      <c r="D229" s="4">
        <v>0.02</v>
      </c>
      <c r="E229" s="4">
        <v>0</v>
      </c>
      <c r="F229" s="1">
        <v>0</v>
      </c>
      <c r="G229" s="7">
        <f t="shared" ref="G229:G231" si="66">(1+D229)^(C229-$C$189)</f>
        <v>1</v>
      </c>
      <c r="I229" s="7">
        <f t="shared" si="64"/>
        <v>1</v>
      </c>
    </row>
    <row r="230" spans="1:10" x14ac:dyDescent="0.25">
      <c r="A230" s="13">
        <v>2019</v>
      </c>
      <c r="B230" s="41" t="s">
        <v>13</v>
      </c>
      <c r="C230" s="14">
        <v>4</v>
      </c>
      <c r="D230" s="20">
        <v>0.02</v>
      </c>
      <c r="E230" s="20">
        <v>0</v>
      </c>
      <c r="F230" s="21">
        <v>0</v>
      </c>
      <c r="G230" s="22">
        <f t="shared" si="66"/>
        <v>1.02</v>
      </c>
      <c r="H230" s="14"/>
      <c r="I230" s="22">
        <f t="shared" si="64"/>
        <v>1</v>
      </c>
      <c r="J230" s="23"/>
    </row>
    <row r="231" spans="1:10" x14ac:dyDescent="0.25">
      <c r="A231" s="24">
        <v>2020</v>
      </c>
      <c r="B231" s="25" t="s">
        <v>14</v>
      </c>
      <c r="C231" s="26">
        <v>5</v>
      </c>
      <c r="D231" s="27">
        <v>0.02</v>
      </c>
      <c r="E231" s="33">
        <v>1.8450000000000001E-2</v>
      </c>
      <c r="F231" s="28">
        <v>300000</v>
      </c>
      <c r="G231" s="29">
        <f t="shared" si="66"/>
        <v>1.0404</v>
      </c>
      <c r="H231" s="31">
        <f>F231*((1+D231)^(C231-$C$189))</f>
        <v>312120</v>
      </c>
      <c r="I231" s="29">
        <f>(1+E231)^(C231-$C$189)</f>
        <v>1.0372404025000002</v>
      </c>
      <c r="J231" s="32">
        <f>H231/I231</f>
        <v>300913.84721200151</v>
      </c>
    </row>
    <row r="232" spans="1:10" x14ac:dyDescent="0.25">
      <c r="A232" s="24">
        <v>2021</v>
      </c>
      <c r="B232" s="26" t="s">
        <v>15</v>
      </c>
      <c r="C232" s="26">
        <v>6</v>
      </c>
      <c r="D232" s="27">
        <v>0.02</v>
      </c>
      <c r="E232" s="33">
        <v>1.9199999999999998E-2</v>
      </c>
      <c r="F232" s="28">
        <v>10000</v>
      </c>
      <c r="G232" s="29">
        <f>(1+D232)^(C232-$C$189)</f>
        <v>1.0612079999999999</v>
      </c>
      <c r="H232" s="31">
        <f t="shared" ref="H232:H251" si="67">F232*((1+D232)^(C232-$C$189))</f>
        <v>10612.08</v>
      </c>
      <c r="I232" s="29">
        <f t="shared" ref="I232:I251" si="68">(1+E232)^(C232-$C$189)</f>
        <v>1.0587129978880003</v>
      </c>
      <c r="J232" s="32">
        <f t="shared" ref="J232:J251" si="69">H232/I232</f>
        <v>10023.566368949629</v>
      </c>
    </row>
    <row r="233" spans="1:10" x14ac:dyDescent="0.25">
      <c r="A233" s="24">
        <v>2022</v>
      </c>
      <c r="B233" s="26" t="s">
        <v>16</v>
      </c>
      <c r="C233" s="26">
        <v>7</v>
      </c>
      <c r="D233" s="27">
        <v>0.02</v>
      </c>
      <c r="E233" s="33">
        <v>1.9789999999999999E-2</v>
      </c>
      <c r="F233" s="28">
        <v>10000</v>
      </c>
      <c r="G233" s="29">
        <f t="shared" ref="G233:G251" si="70">(1+D233)^(C233-$C$189)</f>
        <v>1.08243216</v>
      </c>
      <c r="H233" s="31">
        <f t="shared" si="67"/>
        <v>10824.321599999999</v>
      </c>
      <c r="I233" s="29">
        <f t="shared" si="68"/>
        <v>1.081541020532057</v>
      </c>
      <c r="J233" s="32">
        <f t="shared" si="69"/>
        <v>10008.239534617971</v>
      </c>
    </row>
    <row r="234" spans="1:10" x14ac:dyDescent="0.25">
      <c r="A234" s="24">
        <v>2023</v>
      </c>
      <c r="B234" s="26" t="s">
        <v>17</v>
      </c>
      <c r="C234" s="26">
        <v>8</v>
      </c>
      <c r="D234" s="27">
        <v>0.02</v>
      </c>
      <c r="E234" s="33">
        <v>2.0119999999999999E-2</v>
      </c>
      <c r="F234" s="28">
        <v>10000</v>
      </c>
      <c r="G234" s="29">
        <f t="shared" si="70"/>
        <v>1.1040808032</v>
      </c>
      <c r="H234" s="31">
        <f t="shared" si="67"/>
        <v>11040.808032000001</v>
      </c>
      <c r="I234" s="29">
        <f t="shared" si="68"/>
        <v>1.1047304153279307</v>
      </c>
      <c r="J234" s="32">
        <f t="shared" si="69"/>
        <v>9994.1197226136137</v>
      </c>
    </row>
    <row r="235" spans="1:10" x14ac:dyDescent="0.25">
      <c r="A235" s="24">
        <v>2024</v>
      </c>
      <c r="B235" s="26" t="s">
        <v>18</v>
      </c>
      <c r="C235" s="26">
        <v>9</v>
      </c>
      <c r="D235" s="27">
        <v>0.02</v>
      </c>
      <c r="E235" s="33">
        <v>2.197E-2</v>
      </c>
      <c r="F235" s="28">
        <v>10000</v>
      </c>
      <c r="G235" s="29">
        <f t="shared" si="70"/>
        <v>1.1261624192640001</v>
      </c>
      <c r="H235" s="31">
        <f t="shared" si="67"/>
        <v>11261.62419264</v>
      </c>
      <c r="I235" s="29">
        <f t="shared" si="68"/>
        <v>1.13927582902422</v>
      </c>
      <c r="J235" s="32">
        <f t="shared" si="69"/>
        <v>9884.896972040111</v>
      </c>
    </row>
    <row r="236" spans="1:10" x14ac:dyDescent="0.25">
      <c r="A236" s="24">
        <v>2025</v>
      </c>
      <c r="B236" s="26" t="s">
        <v>19</v>
      </c>
      <c r="C236" s="26">
        <v>10</v>
      </c>
      <c r="D236" s="27">
        <v>0.02</v>
      </c>
      <c r="E236" s="33">
        <v>2.383E-2</v>
      </c>
      <c r="F236" s="28">
        <v>10000</v>
      </c>
      <c r="G236" s="29">
        <f t="shared" si="70"/>
        <v>1.1486856676492798</v>
      </c>
      <c r="H236" s="31">
        <f t="shared" si="67"/>
        <v>11486.856676492798</v>
      </c>
      <c r="I236" s="29">
        <f t="shared" si="68"/>
        <v>1.1792203272465474</v>
      </c>
      <c r="J236" s="32">
        <f t="shared" si="69"/>
        <v>9741.0606068115758</v>
      </c>
    </row>
    <row r="237" spans="1:10" x14ac:dyDescent="0.25">
      <c r="A237" s="24">
        <v>2026</v>
      </c>
      <c r="B237" s="26" t="s">
        <v>20</v>
      </c>
      <c r="C237" s="26">
        <v>11</v>
      </c>
      <c r="D237" s="27">
        <v>0.02</v>
      </c>
      <c r="E237" s="33">
        <v>2.547E-2</v>
      </c>
      <c r="F237" s="28">
        <v>10000</v>
      </c>
      <c r="G237" s="29">
        <f t="shared" si="70"/>
        <v>1.1716593810022655</v>
      </c>
      <c r="H237" s="31">
        <f t="shared" si="67"/>
        <v>11716.593810022656</v>
      </c>
      <c r="I237" s="29">
        <f t="shared" si="68"/>
        <v>1.2228795354613204</v>
      </c>
      <c r="J237" s="32">
        <f t="shared" si="69"/>
        <v>9581.1512665494683</v>
      </c>
    </row>
    <row r="238" spans="1:10" x14ac:dyDescent="0.25">
      <c r="A238" s="24">
        <v>2027</v>
      </c>
      <c r="B238" s="26" t="s">
        <v>21</v>
      </c>
      <c r="C238" s="26">
        <v>12</v>
      </c>
      <c r="D238" s="27">
        <v>0.02</v>
      </c>
      <c r="E238" s="33">
        <v>2.6919999999999999E-2</v>
      </c>
      <c r="F238" s="28">
        <v>10000</v>
      </c>
      <c r="G238" s="29">
        <f t="shared" si="70"/>
        <v>1.1950925686223108</v>
      </c>
      <c r="H238" s="31">
        <f t="shared" si="67"/>
        <v>11950.925686223109</v>
      </c>
      <c r="I238" s="29">
        <f t="shared" si="68"/>
        <v>1.2700754144065363</v>
      </c>
      <c r="J238" s="32">
        <f t="shared" si="69"/>
        <v>9409.6189491293917</v>
      </c>
    </row>
    <row r="239" spans="1:10" x14ac:dyDescent="0.25">
      <c r="A239" s="24">
        <v>2028</v>
      </c>
      <c r="B239" s="26" t="s">
        <v>22</v>
      </c>
      <c r="C239" s="26">
        <v>13</v>
      </c>
      <c r="D239" s="27">
        <v>0.02</v>
      </c>
      <c r="E239" s="33">
        <v>2.8379999999999999E-2</v>
      </c>
      <c r="F239" s="28">
        <v>10000</v>
      </c>
      <c r="G239" s="29">
        <f t="shared" si="70"/>
        <v>1.2189944199947571</v>
      </c>
      <c r="H239" s="31">
        <f t="shared" si="67"/>
        <v>12189.944199947571</v>
      </c>
      <c r="I239" s="29">
        <f t="shared" si="68"/>
        <v>1.3229280310417657</v>
      </c>
      <c r="J239" s="32">
        <f t="shared" si="69"/>
        <v>9214.3668543695148</v>
      </c>
    </row>
    <row r="240" spans="1:10" x14ac:dyDescent="0.25">
      <c r="A240" s="24">
        <v>2029</v>
      </c>
      <c r="B240" s="26" t="s">
        <v>23</v>
      </c>
      <c r="C240" s="26">
        <v>14</v>
      </c>
      <c r="D240" s="27">
        <v>0.02</v>
      </c>
      <c r="E240" s="33">
        <v>2.9250000000000002E-2</v>
      </c>
      <c r="F240" s="28">
        <v>10000</v>
      </c>
      <c r="G240" s="29">
        <f t="shared" si="70"/>
        <v>1.243374308394652</v>
      </c>
      <c r="H240" s="31">
        <f t="shared" si="67"/>
        <v>12433.74308394652</v>
      </c>
      <c r="I240" s="29">
        <f t="shared" si="68"/>
        <v>1.3731868389644428</v>
      </c>
      <c r="J240" s="32">
        <f t="shared" si="69"/>
        <v>9054.6622871241179</v>
      </c>
    </row>
    <row r="241" spans="1:10" x14ac:dyDescent="0.25">
      <c r="A241" s="24">
        <v>2030</v>
      </c>
      <c r="B241" s="26" t="s">
        <v>24</v>
      </c>
      <c r="C241" s="26">
        <v>15</v>
      </c>
      <c r="D241" s="27">
        <v>0.02</v>
      </c>
      <c r="E241" s="33">
        <v>2.9659999999999999E-2</v>
      </c>
      <c r="F241" s="28">
        <v>10000</v>
      </c>
      <c r="G241" s="29">
        <f t="shared" si="70"/>
        <v>1.2682417945625453</v>
      </c>
      <c r="H241" s="31">
        <f t="shared" si="67"/>
        <v>12682.417945625453</v>
      </c>
      <c r="I241" s="29">
        <f t="shared" si="68"/>
        <v>1.4201234549241888</v>
      </c>
      <c r="J241" s="32">
        <f t="shared" si="69"/>
        <v>8930.5038246146596</v>
      </c>
    </row>
    <row r="242" spans="1:10" x14ac:dyDescent="0.25">
      <c r="A242" s="24">
        <v>2031</v>
      </c>
      <c r="B242" s="26" t="s">
        <v>25</v>
      </c>
      <c r="C242" s="26">
        <v>16</v>
      </c>
      <c r="D242" s="27">
        <v>0.02</v>
      </c>
      <c r="E242" s="33">
        <v>3.0540000000000001E-2</v>
      </c>
      <c r="F242" s="28">
        <v>10000</v>
      </c>
      <c r="G242" s="29">
        <f t="shared" si="70"/>
        <v>1.2936066304537961</v>
      </c>
      <c r="H242" s="31">
        <f t="shared" si="67"/>
        <v>12936.066304537961</v>
      </c>
      <c r="I242" s="29">
        <f t="shared" si="68"/>
        <v>1.4785740996020456</v>
      </c>
      <c r="J242" s="32">
        <f t="shared" si="69"/>
        <v>8749.0145458517563</v>
      </c>
    </row>
    <row r="243" spans="1:10" x14ac:dyDescent="0.25">
      <c r="A243" s="24">
        <v>2032</v>
      </c>
      <c r="B243" s="26" t="s">
        <v>26</v>
      </c>
      <c r="C243" s="26">
        <v>17</v>
      </c>
      <c r="D243" s="27">
        <v>0.02</v>
      </c>
      <c r="E243" s="33">
        <v>3.1E-2</v>
      </c>
      <c r="F243" s="28">
        <v>10000</v>
      </c>
      <c r="G243" s="29">
        <f t="shared" si="70"/>
        <v>1.3194787630628722</v>
      </c>
      <c r="H243" s="31">
        <f t="shared" si="67"/>
        <v>13194.787630628722</v>
      </c>
      <c r="I243" s="29">
        <f t="shared" si="68"/>
        <v>1.5332794462931401</v>
      </c>
      <c r="J243" s="32">
        <f t="shared" si="69"/>
        <v>8605.5987136124932</v>
      </c>
    </row>
    <row r="244" spans="1:10" x14ac:dyDescent="0.25">
      <c r="A244" s="24">
        <v>2033</v>
      </c>
      <c r="B244" s="26" t="s">
        <v>27</v>
      </c>
      <c r="C244" s="26">
        <v>18</v>
      </c>
      <c r="D244" s="27">
        <v>0.02</v>
      </c>
      <c r="E244" s="33">
        <v>3.1980000000000001E-2</v>
      </c>
      <c r="F244" s="28">
        <v>10000</v>
      </c>
      <c r="G244" s="29">
        <f t="shared" si="70"/>
        <v>1.3458683383241292</v>
      </c>
      <c r="H244" s="31">
        <f t="shared" si="67"/>
        <v>13458.683383241292</v>
      </c>
      <c r="I244" s="29">
        <f t="shared" si="68"/>
        <v>1.6035009063757411</v>
      </c>
      <c r="J244" s="32">
        <f t="shared" si="69"/>
        <v>8393.3119898639961</v>
      </c>
    </row>
    <row r="245" spans="1:10" x14ac:dyDescent="0.25">
      <c r="A245" s="24">
        <v>2034</v>
      </c>
      <c r="B245" s="26" t="s">
        <v>28</v>
      </c>
      <c r="C245" s="26">
        <v>19</v>
      </c>
      <c r="D245" s="27">
        <v>0.02</v>
      </c>
      <c r="E245" s="33">
        <v>3.1980000000000001E-2</v>
      </c>
      <c r="F245" s="28">
        <v>10000</v>
      </c>
      <c r="G245" s="29">
        <f t="shared" si="70"/>
        <v>1.372785705090612</v>
      </c>
      <c r="H245" s="31">
        <f t="shared" si="67"/>
        <v>13727.857050906121</v>
      </c>
      <c r="I245" s="29">
        <f t="shared" si="68"/>
        <v>1.6547808653616372</v>
      </c>
      <c r="J245" s="32">
        <f t="shared" si="69"/>
        <v>8295.8761116119294</v>
      </c>
    </row>
    <row r="246" spans="1:10" x14ac:dyDescent="0.25">
      <c r="A246" s="24">
        <v>2035</v>
      </c>
      <c r="B246" s="26" t="s">
        <v>29</v>
      </c>
      <c r="C246" s="26">
        <v>20</v>
      </c>
      <c r="D246" s="27">
        <v>0.02</v>
      </c>
      <c r="E246" s="33">
        <v>3.1980000000000001E-2</v>
      </c>
      <c r="F246" s="28">
        <v>10000</v>
      </c>
      <c r="G246" s="29">
        <f t="shared" si="70"/>
        <v>1.4002414191924244</v>
      </c>
      <c r="H246" s="31">
        <f t="shared" si="67"/>
        <v>14002.414191924245</v>
      </c>
      <c r="I246" s="29">
        <f t="shared" si="68"/>
        <v>1.7077007574359022</v>
      </c>
      <c r="J246" s="32">
        <f t="shared" si="69"/>
        <v>8199.5713423168745</v>
      </c>
    </row>
    <row r="247" spans="1:10" x14ac:dyDescent="0.25">
      <c r="A247" s="24">
        <v>2036</v>
      </c>
      <c r="B247" s="26" t="s">
        <v>30</v>
      </c>
      <c r="C247" s="26">
        <v>21</v>
      </c>
      <c r="D247" s="27">
        <v>0.02</v>
      </c>
      <c r="E247" s="33">
        <v>3.1980000000000001E-2</v>
      </c>
      <c r="F247" s="28">
        <v>10000</v>
      </c>
      <c r="G247" s="29">
        <f t="shared" si="70"/>
        <v>1.4282462475762727</v>
      </c>
      <c r="H247" s="31">
        <f t="shared" si="67"/>
        <v>14282.462475762728</v>
      </c>
      <c r="I247" s="29">
        <f t="shared" si="68"/>
        <v>1.762313027658702</v>
      </c>
      <c r="J247" s="32">
        <f t="shared" si="69"/>
        <v>8104.3845512153466</v>
      </c>
    </row>
    <row r="248" spans="1:10" x14ac:dyDescent="0.25">
      <c r="A248" s="24">
        <v>2037</v>
      </c>
      <c r="B248" s="26" t="s">
        <v>31</v>
      </c>
      <c r="C248" s="26">
        <v>22</v>
      </c>
      <c r="D248" s="27">
        <v>0.02</v>
      </c>
      <c r="E248" s="33">
        <v>3.3669999999999999E-2</v>
      </c>
      <c r="F248" s="28">
        <v>10000</v>
      </c>
      <c r="G248" s="29">
        <f t="shared" si="70"/>
        <v>1.4568111725277981</v>
      </c>
      <c r="H248" s="31">
        <f t="shared" si="67"/>
        <v>14568.11172527798</v>
      </c>
      <c r="I248" s="29">
        <f t="shared" si="68"/>
        <v>1.8761014895217618</v>
      </c>
      <c r="J248" s="32">
        <f t="shared" si="69"/>
        <v>7765.0978940331988</v>
      </c>
    </row>
    <row r="249" spans="1:10" x14ac:dyDescent="0.25">
      <c r="A249" s="24">
        <v>2038</v>
      </c>
      <c r="B249" s="26" t="s">
        <v>32</v>
      </c>
      <c r="C249" s="26">
        <v>23</v>
      </c>
      <c r="D249" s="27">
        <v>0.02</v>
      </c>
      <c r="E249" s="33">
        <v>3.4200000000000001E-2</v>
      </c>
      <c r="F249" s="28">
        <v>10000</v>
      </c>
      <c r="G249" s="29">
        <f t="shared" si="70"/>
        <v>1.4859473959783542</v>
      </c>
      <c r="H249" s="31">
        <f t="shared" si="67"/>
        <v>14859.473959783543</v>
      </c>
      <c r="I249" s="29">
        <f t="shared" si="68"/>
        <v>1.9592536689906859</v>
      </c>
      <c r="J249" s="32">
        <f t="shared" si="69"/>
        <v>7584.2522052993963</v>
      </c>
    </row>
    <row r="250" spans="1:10" x14ac:dyDescent="0.25">
      <c r="A250" s="24">
        <v>2039</v>
      </c>
      <c r="B250" s="26" t="s">
        <v>33</v>
      </c>
      <c r="C250" s="26">
        <v>24</v>
      </c>
      <c r="D250" s="27">
        <v>0.02</v>
      </c>
      <c r="E250" s="33">
        <v>3.4799999999999998E-2</v>
      </c>
      <c r="F250" s="28">
        <v>10000</v>
      </c>
      <c r="G250" s="29">
        <f t="shared" si="70"/>
        <v>1.5156663438979212</v>
      </c>
      <c r="H250" s="31">
        <f t="shared" si="67"/>
        <v>15156.663438979213</v>
      </c>
      <c r="I250" s="29">
        <f t="shared" si="68"/>
        <v>2.0510904897251478</v>
      </c>
      <c r="J250" s="32">
        <f t="shared" si="69"/>
        <v>7389.5635101941552</v>
      </c>
    </row>
    <row r="251" spans="1:10" x14ac:dyDescent="0.25">
      <c r="A251" s="24">
        <v>2040</v>
      </c>
      <c r="B251" s="26" t="s">
        <v>34</v>
      </c>
      <c r="C251" s="26">
        <v>25</v>
      </c>
      <c r="D251" s="27">
        <v>0.02</v>
      </c>
      <c r="E251" s="33">
        <v>3.5000000000000003E-2</v>
      </c>
      <c r="F251" s="28">
        <v>10000</v>
      </c>
      <c r="G251" s="29">
        <f t="shared" si="70"/>
        <v>1.5459796707758797</v>
      </c>
      <c r="H251" s="31">
        <f t="shared" si="67"/>
        <v>15459.796707758796</v>
      </c>
      <c r="I251" s="29">
        <f t="shared" si="68"/>
        <v>2.1315115752661971</v>
      </c>
      <c r="J251" s="32">
        <f t="shared" si="69"/>
        <v>7252.9733768056485</v>
      </c>
    </row>
    <row r="252" spans="1:10" x14ac:dyDescent="0.25">
      <c r="A252" s="24">
        <v>2041</v>
      </c>
      <c r="B252" s="26" t="s">
        <v>100</v>
      </c>
      <c r="C252" s="26">
        <v>26</v>
      </c>
      <c r="D252" s="27">
        <v>0.02</v>
      </c>
      <c r="E252" s="72">
        <v>3.5099999999999999E-2</v>
      </c>
      <c r="F252" s="73">
        <v>10000</v>
      </c>
      <c r="G252" s="29">
        <f t="shared" ref="G252:G260" si="71">(1+D252)^(C252-$C$189)</f>
        <v>1.576899264191397</v>
      </c>
      <c r="H252" s="31">
        <f t="shared" ref="H252:H260" si="72">F252*((1+D252)^(C252-$C$189))</f>
        <v>15768.99264191397</v>
      </c>
      <c r="I252" s="29">
        <f t="shared" ref="I252:I260" si="73">(1+E252)^(C252-$C$189)</f>
        <v>2.2110221709108755</v>
      </c>
      <c r="J252" s="32">
        <f t="shared" ref="J252:J260" si="74">H252/I252</f>
        <v>7131.992093691948</v>
      </c>
    </row>
    <row r="253" spans="1:10" x14ac:dyDescent="0.25">
      <c r="A253" s="24">
        <v>2042</v>
      </c>
      <c r="B253" s="26" t="s">
        <v>101</v>
      </c>
      <c r="C253" s="26">
        <v>27</v>
      </c>
      <c r="D253" s="27">
        <v>0.02</v>
      </c>
      <c r="E253" s="72">
        <v>3.5099999999999999E-2</v>
      </c>
      <c r="F253" s="73">
        <v>10000</v>
      </c>
      <c r="G253" s="29">
        <f t="shared" si="71"/>
        <v>1.608437249475225</v>
      </c>
      <c r="H253" s="31">
        <f t="shared" si="72"/>
        <v>16084.37249475225</v>
      </c>
      <c r="I253" s="29">
        <f t="shared" si="73"/>
        <v>2.2886290491098471</v>
      </c>
      <c r="J253" s="32">
        <f t="shared" si="74"/>
        <v>7027.9508603669083</v>
      </c>
    </row>
    <row r="254" spans="1:10" x14ac:dyDescent="0.25">
      <c r="A254" s="24">
        <v>2043</v>
      </c>
      <c r="B254" s="26" t="s">
        <v>102</v>
      </c>
      <c r="C254" s="26">
        <v>28</v>
      </c>
      <c r="D254" s="27">
        <v>0.02</v>
      </c>
      <c r="E254" s="72">
        <v>3.5099999999999999E-2</v>
      </c>
      <c r="F254" s="73">
        <v>10000</v>
      </c>
      <c r="G254" s="29">
        <f t="shared" si="71"/>
        <v>1.6406059944647295</v>
      </c>
      <c r="H254" s="31">
        <f t="shared" si="72"/>
        <v>16406.059944647295</v>
      </c>
      <c r="I254" s="29">
        <f t="shared" si="73"/>
        <v>2.3689599287336027</v>
      </c>
      <c r="J254" s="32">
        <f t="shared" si="74"/>
        <v>6925.4273766537017</v>
      </c>
    </row>
    <row r="255" spans="1:10" x14ac:dyDescent="0.25">
      <c r="A255" s="24">
        <v>2044</v>
      </c>
      <c r="B255" s="26" t="s">
        <v>103</v>
      </c>
      <c r="C255" s="26">
        <v>29</v>
      </c>
      <c r="D255" s="27">
        <v>0.02</v>
      </c>
      <c r="E255" s="72">
        <v>3.5099999999999999E-2</v>
      </c>
      <c r="F255" s="73">
        <v>10000</v>
      </c>
      <c r="G255" s="29">
        <f t="shared" si="71"/>
        <v>1.6734181143540243</v>
      </c>
      <c r="H255" s="31">
        <f t="shared" si="72"/>
        <v>16734.181143540241</v>
      </c>
      <c r="I255" s="29">
        <f t="shared" si="73"/>
        <v>2.4521104222321521</v>
      </c>
      <c r="J255" s="32">
        <f t="shared" si="74"/>
        <v>6824.3995016778827</v>
      </c>
    </row>
    <row r="256" spans="1:10" x14ac:dyDescent="0.25">
      <c r="A256" s="24">
        <v>2045</v>
      </c>
      <c r="B256" s="26" t="s">
        <v>104</v>
      </c>
      <c r="C256" s="26">
        <v>30</v>
      </c>
      <c r="D256" s="27">
        <v>0.02</v>
      </c>
      <c r="E256" s="72">
        <v>3.5099999999999999E-2</v>
      </c>
      <c r="F256" s="73">
        <v>10000</v>
      </c>
      <c r="G256" s="29">
        <f t="shared" si="71"/>
        <v>1.7068864766411045</v>
      </c>
      <c r="H256" s="31">
        <f t="shared" si="72"/>
        <v>17068.864766411043</v>
      </c>
      <c r="I256" s="29">
        <f t="shared" si="73"/>
        <v>2.5381794980525001</v>
      </c>
      <c r="J256" s="32">
        <f t="shared" si="74"/>
        <v>6724.8454175552515</v>
      </c>
    </row>
    <row r="257" spans="1:10" x14ac:dyDescent="0.25">
      <c r="A257" s="24">
        <v>2046</v>
      </c>
      <c r="B257" s="26" t="s">
        <v>105</v>
      </c>
      <c r="C257" s="26">
        <v>31</v>
      </c>
      <c r="D257" s="27">
        <v>0.02</v>
      </c>
      <c r="E257" s="72">
        <v>3.5099999999999999E-2</v>
      </c>
      <c r="F257" s="73">
        <v>10000</v>
      </c>
      <c r="G257" s="29">
        <f t="shared" si="71"/>
        <v>1.7410242061739269</v>
      </c>
      <c r="H257" s="31">
        <f t="shared" si="72"/>
        <v>17410.242061739271</v>
      </c>
      <c r="I257" s="29">
        <f t="shared" si="73"/>
        <v>2.6272695984341432</v>
      </c>
      <c r="J257" s="32">
        <f t="shared" si="74"/>
        <v>6626.7436246800871</v>
      </c>
    </row>
    <row r="258" spans="1:10" x14ac:dyDescent="0.25">
      <c r="A258" s="24">
        <v>2047</v>
      </c>
      <c r="B258" s="26" t="s">
        <v>106</v>
      </c>
      <c r="C258" s="26">
        <v>32</v>
      </c>
      <c r="D258" s="27">
        <v>0.02</v>
      </c>
      <c r="E258" s="72">
        <v>3.5099999999999999E-2</v>
      </c>
      <c r="F258" s="73">
        <v>10000</v>
      </c>
      <c r="G258" s="29">
        <f t="shared" si="71"/>
        <v>1.7758446902974052</v>
      </c>
      <c r="H258" s="31">
        <f t="shared" si="72"/>
        <v>17758.446902974054</v>
      </c>
      <c r="I258" s="29">
        <f t="shared" si="73"/>
        <v>2.7194867613391813</v>
      </c>
      <c r="J258" s="32">
        <f t="shared" si="74"/>
        <v>6530.0729370821064</v>
      </c>
    </row>
    <row r="259" spans="1:10" x14ac:dyDescent="0.25">
      <c r="A259" s="24">
        <v>2048</v>
      </c>
      <c r="B259" s="26" t="s">
        <v>107</v>
      </c>
      <c r="C259" s="26">
        <v>33</v>
      </c>
      <c r="D259" s="27">
        <v>0.02</v>
      </c>
      <c r="E259" s="72">
        <v>3.5099999999999999E-2</v>
      </c>
      <c r="F259" s="73">
        <v>10000</v>
      </c>
      <c r="G259" s="29">
        <f t="shared" si="71"/>
        <v>1.8113615841033535</v>
      </c>
      <c r="H259" s="31">
        <f t="shared" si="72"/>
        <v>18113.615841033534</v>
      </c>
      <c r="I259" s="29">
        <f t="shared" si="73"/>
        <v>2.8149407466621863</v>
      </c>
      <c r="J259" s="32">
        <f t="shared" si="74"/>
        <v>6434.8124778511728</v>
      </c>
    </row>
    <row r="260" spans="1:10" x14ac:dyDescent="0.25">
      <c r="A260" s="24">
        <v>2049</v>
      </c>
      <c r="B260" s="26" t="s">
        <v>108</v>
      </c>
      <c r="C260" s="26">
        <v>34</v>
      </c>
      <c r="D260" s="27">
        <v>0.02</v>
      </c>
      <c r="E260" s="72">
        <v>3.5099999999999999E-2</v>
      </c>
      <c r="F260" s="73">
        <v>10000</v>
      </c>
      <c r="G260" s="29">
        <f t="shared" si="71"/>
        <v>1.8475888157854201</v>
      </c>
      <c r="H260" s="31">
        <f t="shared" si="72"/>
        <v>18475.888157854202</v>
      </c>
      <c r="I260" s="29">
        <f t="shared" si="73"/>
        <v>2.9137451668700289</v>
      </c>
      <c r="J260" s="32">
        <f t="shared" si="74"/>
        <v>6340.9416746287279</v>
      </c>
    </row>
    <row r="261" spans="1:10" ht="15.75" thickBot="1" x14ac:dyDescent="0.3">
      <c r="A261" s="15">
        <v>2050</v>
      </c>
      <c r="B261" s="16" t="s">
        <v>109</v>
      </c>
      <c r="C261" s="16">
        <v>35</v>
      </c>
      <c r="D261" s="34">
        <v>0.02</v>
      </c>
      <c r="E261" s="79">
        <v>3.5099999999999999E-2</v>
      </c>
      <c r="F261" s="80">
        <v>10000</v>
      </c>
      <c r="G261" s="37">
        <f t="shared" ref="G261" si="75">(1+D261)^(C261-$C$189)</f>
        <v>1.8845405921011289</v>
      </c>
      <c r="H261" s="38">
        <f t="shared" ref="H261" si="76">F261*((1+D261)^(C261-$C$189))</f>
        <v>18845.40592101129</v>
      </c>
      <c r="I261" s="37">
        <f t="shared" ref="I261" si="77">(1+E261)^(C261-$C$189)</f>
        <v>3.0160176222271669</v>
      </c>
      <c r="J261" s="39">
        <f t="shared" ref="J261" si="78">H261/I261</f>
        <v>6248.4402551650119</v>
      </c>
    </row>
    <row r="262" spans="1:10" x14ac:dyDescent="0.25">
      <c r="A262" s="26"/>
      <c r="B262" s="26"/>
      <c r="C262" s="26"/>
      <c r="D262" s="27"/>
      <c r="E262" s="33"/>
      <c r="F262" s="28"/>
      <c r="G262" s="29"/>
      <c r="H262" s="31"/>
      <c r="I262" s="29"/>
      <c r="J262" s="31"/>
    </row>
    <row r="264" spans="1:10" ht="15.75" thickBot="1" x14ac:dyDescent="0.3"/>
    <row r="265" spans="1:10" x14ac:dyDescent="0.25">
      <c r="A265" s="54"/>
      <c r="B265" s="96" t="s">
        <v>94</v>
      </c>
      <c r="C265" s="97"/>
      <c r="D265" s="97"/>
      <c r="E265" s="97"/>
      <c r="F265" s="97"/>
      <c r="G265" s="97"/>
      <c r="H265" s="97"/>
      <c r="I265" s="97"/>
      <c r="J265" s="98"/>
    </row>
    <row r="266" spans="1:10" ht="60.75" thickBot="1" x14ac:dyDescent="0.3">
      <c r="A266" s="55"/>
      <c r="B266" s="56"/>
      <c r="C266" s="57"/>
      <c r="D266" s="58" t="s">
        <v>40</v>
      </c>
      <c r="E266" s="58" t="s">
        <v>47</v>
      </c>
      <c r="F266" s="58" t="s">
        <v>39</v>
      </c>
      <c r="G266" s="58" t="s">
        <v>44</v>
      </c>
      <c r="H266" s="59" t="s">
        <v>41</v>
      </c>
      <c r="I266" s="59" t="s">
        <v>43</v>
      </c>
      <c r="J266" s="60" t="s">
        <v>42</v>
      </c>
    </row>
    <row r="267" spans="1:10" ht="15.75" thickBot="1" x14ac:dyDescent="0.3">
      <c r="A267" s="63"/>
      <c r="B267" s="64" t="s">
        <v>53</v>
      </c>
      <c r="C267" s="65"/>
      <c r="D267" s="66"/>
      <c r="E267" s="66"/>
      <c r="F267" s="66"/>
      <c r="G267" s="66"/>
      <c r="H267" s="67"/>
      <c r="I267" s="67"/>
      <c r="J267" s="68">
        <f>SUM(J268:J302)</f>
        <v>669292.07373064675</v>
      </c>
    </row>
    <row r="268" spans="1:10" x14ac:dyDescent="0.25">
      <c r="A268" s="13">
        <v>2016</v>
      </c>
      <c r="B268" s="14" t="s">
        <v>10</v>
      </c>
      <c r="C268" s="14">
        <v>1</v>
      </c>
      <c r="D268" s="20">
        <v>0.02</v>
      </c>
      <c r="E268" s="20">
        <v>0</v>
      </c>
      <c r="F268" s="21">
        <v>0</v>
      </c>
      <c r="G268" s="22">
        <f t="shared" ref="G268" si="79">(1+D268)^(C268-$C$68)</f>
        <v>1</v>
      </c>
      <c r="H268" s="14"/>
      <c r="I268" s="22">
        <f t="shared" ref="I268:I271" si="80">(1+E268)^(C268-$C$189)</f>
        <v>1</v>
      </c>
      <c r="J268" s="23"/>
    </row>
    <row r="269" spans="1:10" x14ac:dyDescent="0.25">
      <c r="A269" s="24">
        <v>2017</v>
      </c>
      <c r="B269" s="25" t="s">
        <v>11</v>
      </c>
      <c r="C269" s="26">
        <v>2</v>
      </c>
      <c r="D269" s="27">
        <v>0.02</v>
      </c>
      <c r="E269" s="27">
        <v>0</v>
      </c>
      <c r="F269" s="28">
        <v>0</v>
      </c>
      <c r="G269" s="29">
        <f t="shared" ref="G269" si="81">(1+D269)^(C269-$C$108)</f>
        <v>1</v>
      </c>
      <c r="H269" s="26"/>
      <c r="I269" s="29">
        <f t="shared" si="80"/>
        <v>1</v>
      </c>
      <c r="J269" s="30"/>
    </row>
    <row r="270" spans="1:10" x14ac:dyDescent="0.25">
      <c r="A270" s="24">
        <v>2018</v>
      </c>
      <c r="B270" s="25" t="s">
        <v>12</v>
      </c>
      <c r="C270" s="26">
        <v>3</v>
      </c>
      <c r="D270" s="27">
        <v>0.02</v>
      </c>
      <c r="E270" s="27">
        <v>0</v>
      </c>
      <c r="F270" s="28">
        <v>0</v>
      </c>
      <c r="G270" s="29">
        <f t="shared" ref="G270:G272" si="82">(1+D270)^(C270-$C$189)</f>
        <v>1</v>
      </c>
      <c r="H270" s="26"/>
      <c r="I270" s="29">
        <f t="shared" si="80"/>
        <v>1</v>
      </c>
      <c r="J270" s="30"/>
    </row>
    <row r="271" spans="1:10" x14ac:dyDescent="0.25">
      <c r="A271" s="24">
        <v>2019</v>
      </c>
      <c r="B271" s="25" t="s">
        <v>13</v>
      </c>
      <c r="C271" s="26">
        <v>4</v>
      </c>
      <c r="D271" s="27">
        <v>0.02</v>
      </c>
      <c r="E271" s="27">
        <v>0</v>
      </c>
      <c r="F271" s="28">
        <v>0</v>
      </c>
      <c r="G271" s="29">
        <f t="shared" si="82"/>
        <v>1.02</v>
      </c>
      <c r="H271" s="26"/>
      <c r="I271" s="29">
        <f t="shared" si="80"/>
        <v>1</v>
      </c>
      <c r="J271" s="30"/>
    </row>
    <row r="272" spans="1:10" x14ac:dyDescent="0.25">
      <c r="A272" s="24">
        <v>2020</v>
      </c>
      <c r="B272" s="25" t="s">
        <v>14</v>
      </c>
      <c r="C272" s="26">
        <v>5</v>
      </c>
      <c r="D272" s="27">
        <v>0.02</v>
      </c>
      <c r="E272" s="33">
        <v>1.8450000000000001E-2</v>
      </c>
      <c r="F272" s="28">
        <v>425000</v>
      </c>
      <c r="G272" s="29">
        <f t="shared" si="82"/>
        <v>1.0404</v>
      </c>
      <c r="H272" s="31">
        <f>F272*((1+D272)^(C272-$C$189))</f>
        <v>442170</v>
      </c>
      <c r="I272" s="29">
        <f>(1+E272)^(C272-$C$189)</f>
        <v>1.0372404025000002</v>
      </c>
      <c r="J272" s="32">
        <f>H272/I272</f>
        <v>426294.61688366882</v>
      </c>
    </row>
    <row r="273" spans="1:10" x14ac:dyDescent="0.25">
      <c r="A273" s="24">
        <v>2021</v>
      </c>
      <c r="B273" s="26" t="s">
        <v>15</v>
      </c>
      <c r="C273" s="26">
        <v>6</v>
      </c>
      <c r="D273" s="27">
        <v>0.02</v>
      </c>
      <c r="E273" s="33">
        <v>1.9199999999999998E-2</v>
      </c>
      <c r="F273" s="28">
        <v>10000</v>
      </c>
      <c r="G273" s="29">
        <f>(1+D273)^(C273-$C$189)</f>
        <v>1.0612079999999999</v>
      </c>
      <c r="H273" s="31">
        <f t="shared" ref="H273:H292" si="83">F273*((1+D273)^(C273-$C$189))</f>
        <v>10612.08</v>
      </c>
      <c r="I273" s="29">
        <f t="shared" ref="I273:I292" si="84">(1+E273)^(C273-$C$189)</f>
        <v>1.0587129978880003</v>
      </c>
      <c r="J273" s="32">
        <f t="shared" ref="J273:J292" si="85">H273/I273</f>
        <v>10023.566368949629</v>
      </c>
    </row>
    <row r="274" spans="1:10" x14ac:dyDescent="0.25">
      <c r="A274" s="24">
        <v>2022</v>
      </c>
      <c r="B274" s="26" t="s">
        <v>16</v>
      </c>
      <c r="C274" s="26">
        <v>7</v>
      </c>
      <c r="D274" s="27">
        <v>0.02</v>
      </c>
      <c r="E274" s="33">
        <v>1.9789999999999999E-2</v>
      </c>
      <c r="F274" s="28">
        <v>10000</v>
      </c>
      <c r="G274" s="29">
        <f t="shared" ref="G274:G292" si="86">(1+D274)^(C274-$C$189)</f>
        <v>1.08243216</v>
      </c>
      <c r="H274" s="31">
        <f t="shared" si="83"/>
        <v>10824.321599999999</v>
      </c>
      <c r="I274" s="29">
        <f t="shared" si="84"/>
        <v>1.081541020532057</v>
      </c>
      <c r="J274" s="32">
        <f t="shared" si="85"/>
        <v>10008.239534617971</v>
      </c>
    </row>
    <row r="275" spans="1:10" x14ac:dyDescent="0.25">
      <c r="A275" s="24">
        <v>2023</v>
      </c>
      <c r="B275" s="26" t="s">
        <v>17</v>
      </c>
      <c r="C275" s="26">
        <v>8</v>
      </c>
      <c r="D275" s="27">
        <v>0.02</v>
      </c>
      <c r="E275" s="33">
        <v>2.0119999999999999E-2</v>
      </c>
      <c r="F275" s="28">
        <v>10000</v>
      </c>
      <c r="G275" s="29">
        <f t="shared" si="86"/>
        <v>1.1040808032</v>
      </c>
      <c r="H275" s="31">
        <f t="shared" si="83"/>
        <v>11040.808032000001</v>
      </c>
      <c r="I275" s="29">
        <f t="shared" si="84"/>
        <v>1.1047304153279307</v>
      </c>
      <c r="J275" s="32">
        <f t="shared" si="85"/>
        <v>9994.1197226136137</v>
      </c>
    </row>
    <row r="276" spans="1:10" x14ac:dyDescent="0.25">
      <c r="A276" s="24">
        <v>2024</v>
      </c>
      <c r="B276" s="26" t="s">
        <v>18</v>
      </c>
      <c r="C276" s="26">
        <v>9</v>
      </c>
      <c r="D276" s="27">
        <v>0.02</v>
      </c>
      <c r="E276" s="33">
        <v>2.197E-2</v>
      </c>
      <c r="F276" s="28">
        <v>10000</v>
      </c>
      <c r="G276" s="29">
        <f t="shared" si="86"/>
        <v>1.1261624192640001</v>
      </c>
      <c r="H276" s="31">
        <f t="shared" si="83"/>
        <v>11261.62419264</v>
      </c>
      <c r="I276" s="29">
        <f t="shared" si="84"/>
        <v>1.13927582902422</v>
      </c>
      <c r="J276" s="32">
        <f t="shared" si="85"/>
        <v>9884.896972040111</v>
      </c>
    </row>
    <row r="277" spans="1:10" x14ac:dyDescent="0.25">
      <c r="A277" s="24">
        <v>2025</v>
      </c>
      <c r="B277" s="26" t="s">
        <v>19</v>
      </c>
      <c r="C277" s="26">
        <v>10</v>
      </c>
      <c r="D277" s="27">
        <v>0.02</v>
      </c>
      <c r="E277" s="33">
        <v>2.383E-2</v>
      </c>
      <c r="F277" s="28">
        <v>10000</v>
      </c>
      <c r="G277" s="29">
        <f t="shared" si="86"/>
        <v>1.1486856676492798</v>
      </c>
      <c r="H277" s="31">
        <f t="shared" si="83"/>
        <v>11486.856676492798</v>
      </c>
      <c r="I277" s="29">
        <f t="shared" si="84"/>
        <v>1.1792203272465474</v>
      </c>
      <c r="J277" s="32">
        <f t="shared" si="85"/>
        <v>9741.0606068115758</v>
      </c>
    </row>
    <row r="278" spans="1:10" x14ac:dyDescent="0.25">
      <c r="A278" s="24">
        <v>2026</v>
      </c>
      <c r="B278" s="26" t="s">
        <v>20</v>
      </c>
      <c r="C278" s="26">
        <v>11</v>
      </c>
      <c r="D278" s="27">
        <v>0.02</v>
      </c>
      <c r="E278" s="33">
        <v>2.547E-2</v>
      </c>
      <c r="F278" s="28">
        <v>10000</v>
      </c>
      <c r="G278" s="29">
        <f t="shared" si="86"/>
        <v>1.1716593810022655</v>
      </c>
      <c r="H278" s="31">
        <f t="shared" si="83"/>
        <v>11716.593810022656</v>
      </c>
      <c r="I278" s="29">
        <f t="shared" si="84"/>
        <v>1.2228795354613204</v>
      </c>
      <c r="J278" s="32">
        <f t="shared" si="85"/>
        <v>9581.1512665494683</v>
      </c>
    </row>
    <row r="279" spans="1:10" x14ac:dyDescent="0.25">
      <c r="A279" s="24">
        <v>2027</v>
      </c>
      <c r="B279" s="26" t="s">
        <v>21</v>
      </c>
      <c r="C279" s="26">
        <v>12</v>
      </c>
      <c r="D279" s="27">
        <v>0.02</v>
      </c>
      <c r="E279" s="33">
        <v>2.6919999999999999E-2</v>
      </c>
      <c r="F279" s="28">
        <v>10000</v>
      </c>
      <c r="G279" s="29">
        <f t="shared" si="86"/>
        <v>1.1950925686223108</v>
      </c>
      <c r="H279" s="31">
        <f t="shared" si="83"/>
        <v>11950.925686223109</v>
      </c>
      <c r="I279" s="29">
        <f t="shared" si="84"/>
        <v>1.2700754144065363</v>
      </c>
      <c r="J279" s="32">
        <f t="shared" si="85"/>
        <v>9409.6189491293917</v>
      </c>
    </row>
    <row r="280" spans="1:10" x14ac:dyDescent="0.25">
      <c r="A280" s="24">
        <v>2028</v>
      </c>
      <c r="B280" s="26" t="s">
        <v>22</v>
      </c>
      <c r="C280" s="26">
        <v>13</v>
      </c>
      <c r="D280" s="27">
        <v>0.02</v>
      </c>
      <c r="E280" s="33">
        <v>2.8379999999999999E-2</v>
      </c>
      <c r="F280" s="28">
        <v>10000</v>
      </c>
      <c r="G280" s="29">
        <f t="shared" si="86"/>
        <v>1.2189944199947571</v>
      </c>
      <c r="H280" s="31">
        <f t="shared" si="83"/>
        <v>12189.944199947571</v>
      </c>
      <c r="I280" s="29">
        <f t="shared" si="84"/>
        <v>1.3229280310417657</v>
      </c>
      <c r="J280" s="32">
        <f t="shared" si="85"/>
        <v>9214.3668543695148</v>
      </c>
    </row>
    <row r="281" spans="1:10" x14ac:dyDescent="0.25">
      <c r="A281" s="24">
        <v>2029</v>
      </c>
      <c r="B281" s="26" t="s">
        <v>23</v>
      </c>
      <c r="C281" s="26">
        <v>14</v>
      </c>
      <c r="D281" s="27">
        <v>0.02</v>
      </c>
      <c r="E281" s="33">
        <v>2.9250000000000002E-2</v>
      </c>
      <c r="F281" s="28">
        <v>10000</v>
      </c>
      <c r="G281" s="29">
        <f t="shared" si="86"/>
        <v>1.243374308394652</v>
      </c>
      <c r="H281" s="31">
        <f t="shared" si="83"/>
        <v>12433.74308394652</v>
      </c>
      <c r="I281" s="29">
        <f t="shared" si="84"/>
        <v>1.3731868389644428</v>
      </c>
      <c r="J281" s="32">
        <f t="shared" si="85"/>
        <v>9054.6622871241179</v>
      </c>
    </row>
    <row r="282" spans="1:10" x14ac:dyDescent="0.25">
      <c r="A282" s="24">
        <v>2030</v>
      </c>
      <c r="B282" s="26" t="s">
        <v>24</v>
      </c>
      <c r="C282" s="26">
        <v>15</v>
      </c>
      <c r="D282" s="27">
        <v>0.02</v>
      </c>
      <c r="E282" s="33">
        <v>2.9659999999999999E-2</v>
      </c>
      <c r="F282" s="28">
        <v>10000</v>
      </c>
      <c r="G282" s="29">
        <f t="shared" si="86"/>
        <v>1.2682417945625453</v>
      </c>
      <c r="H282" s="31">
        <f t="shared" si="83"/>
        <v>12682.417945625453</v>
      </c>
      <c r="I282" s="29">
        <f t="shared" si="84"/>
        <v>1.4201234549241888</v>
      </c>
      <c r="J282" s="32">
        <f t="shared" si="85"/>
        <v>8930.5038246146596</v>
      </c>
    </row>
    <row r="283" spans="1:10" x14ac:dyDescent="0.25">
      <c r="A283" s="24">
        <v>2031</v>
      </c>
      <c r="B283" s="26" t="s">
        <v>25</v>
      </c>
      <c r="C283" s="26">
        <v>16</v>
      </c>
      <c r="D283" s="27">
        <v>0.02</v>
      </c>
      <c r="E283" s="33">
        <v>3.0540000000000001E-2</v>
      </c>
      <c r="F283" s="28">
        <v>10000</v>
      </c>
      <c r="G283" s="29">
        <f t="shared" si="86"/>
        <v>1.2936066304537961</v>
      </c>
      <c r="H283" s="31">
        <f t="shared" si="83"/>
        <v>12936.066304537961</v>
      </c>
      <c r="I283" s="29">
        <f t="shared" si="84"/>
        <v>1.4785740996020456</v>
      </c>
      <c r="J283" s="32">
        <f t="shared" si="85"/>
        <v>8749.0145458517563</v>
      </c>
    </row>
    <row r="284" spans="1:10" x14ac:dyDescent="0.25">
      <c r="A284" s="24">
        <v>2032</v>
      </c>
      <c r="B284" s="26" t="s">
        <v>26</v>
      </c>
      <c r="C284" s="26">
        <v>17</v>
      </c>
      <c r="D284" s="27">
        <v>0.02</v>
      </c>
      <c r="E284" s="33">
        <v>3.1E-2</v>
      </c>
      <c r="F284" s="28">
        <v>10000</v>
      </c>
      <c r="G284" s="29">
        <f t="shared" si="86"/>
        <v>1.3194787630628722</v>
      </c>
      <c r="H284" s="31">
        <f t="shared" si="83"/>
        <v>13194.787630628722</v>
      </c>
      <c r="I284" s="29">
        <f t="shared" si="84"/>
        <v>1.5332794462931401</v>
      </c>
      <c r="J284" s="32">
        <f t="shared" si="85"/>
        <v>8605.5987136124932</v>
      </c>
    </row>
    <row r="285" spans="1:10" x14ac:dyDescent="0.25">
      <c r="A285" s="24">
        <v>2033</v>
      </c>
      <c r="B285" s="26" t="s">
        <v>27</v>
      </c>
      <c r="C285" s="26">
        <v>18</v>
      </c>
      <c r="D285" s="27">
        <v>0.02</v>
      </c>
      <c r="E285" s="33">
        <v>3.1980000000000001E-2</v>
      </c>
      <c r="F285" s="28">
        <v>10000</v>
      </c>
      <c r="G285" s="29">
        <f t="shared" si="86"/>
        <v>1.3458683383241292</v>
      </c>
      <c r="H285" s="31">
        <f t="shared" si="83"/>
        <v>13458.683383241292</v>
      </c>
      <c r="I285" s="29">
        <f t="shared" si="84"/>
        <v>1.6035009063757411</v>
      </c>
      <c r="J285" s="32">
        <f t="shared" si="85"/>
        <v>8393.3119898639961</v>
      </c>
    </row>
    <row r="286" spans="1:10" x14ac:dyDescent="0.25">
      <c r="A286" s="24">
        <v>2034</v>
      </c>
      <c r="B286" s="26" t="s">
        <v>28</v>
      </c>
      <c r="C286" s="26">
        <v>19</v>
      </c>
      <c r="D286" s="27">
        <v>0.02</v>
      </c>
      <c r="E286" s="33">
        <v>3.1980000000000001E-2</v>
      </c>
      <c r="F286" s="28">
        <v>10000</v>
      </c>
      <c r="G286" s="29">
        <f t="shared" si="86"/>
        <v>1.372785705090612</v>
      </c>
      <c r="H286" s="31">
        <f t="shared" si="83"/>
        <v>13727.857050906121</v>
      </c>
      <c r="I286" s="29">
        <f t="shared" si="84"/>
        <v>1.6547808653616372</v>
      </c>
      <c r="J286" s="32">
        <f t="shared" si="85"/>
        <v>8295.8761116119294</v>
      </c>
    </row>
    <row r="287" spans="1:10" x14ac:dyDescent="0.25">
      <c r="A287" s="24">
        <v>2035</v>
      </c>
      <c r="B287" s="26" t="s">
        <v>29</v>
      </c>
      <c r="C287" s="26">
        <v>20</v>
      </c>
      <c r="D287" s="27">
        <v>0.02</v>
      </c>
      <c r="E287" s="33">
        <v>3.1980000000000001E-2</v>
      </c>
      <c r="F287" s="28">
        <v>10000</v>
      </c>
      <c r="G287" s="29">
        <f t="shared" si="86"/>
        <v>1.4002414191924244</v>
      </c>
      <c r="H287" s="31">
        <f t="shared" si="83"/>
        <v>14002.414191924245</v>
      </c>
      <c r="I287" s="29">
        <f t="shared" si="84"/>
        <v>1.7077007574359022</v>
      </c>
      <c r="J287" s="32">
        <f t="shared" si="85"/>
        <v>8199.5713423168745</v>
      </c>
    </row>
    <row r="288" spans="1:10" x14ac:dyDescent="0.25">
      <c r="A288" s="24">
        <v>2036</v>
      </c>
      <c r="B288" s="26" t="s">
        <v>30</v>
      </c>
      <c r="C288" s="26">
        <v>21</v>
      </c>
      <c r="D288" s="27">
        <v>0.02</v>
      </c>
      <c r="E288" s="33">
        <v>3.1980000000000001E-2</v>
      </c>
      <c r="F288" s="28">
        <v>10000</v>
      </c>
      <c r="G288" s="29">
        <f t="shared" si="86"/>
        <v>1.4282462475762727</v>
      </c>
      <c r="H288" s="31">
        <f t="shared" si="83"/>
        <v>14282.462475762728</v>
      </c>
      <c r="I288" s="29">
        <f t="shared" si="84"/>
        <v>1.762313027658702</v>
      </c>
      <c r="J288" s="32">
        <f t="shared" si="85"/>
        <v>8104.3845512153466</v>
      </c>
    </row>
    <row r="289" spans="1:10" x14ac:dyDescent="0.25">
      <c r="A289" s="24">
        <v>2037</v>
      </c>
      <c r="B289" s="26" t="s">
        <v>31</v>
      </c>
      <c r="C289" s="26">
        <v>22</v>
      </c>
      <c r="D289" s="27">
        <v>0.02</v>
      </c>
      <c r="E289" s="33">
        <v>3.3669999999999999E-2</v>
      </c>
      <c r="F289" s="28">
        <v>10000</v>
      </c>
      <c r="G289" s="29">
        <f t="shared" si="86"/>
        <v>1.4568111725277981</v>
      </c>
      <c r="H289" s="31">
        <f t="shared" si="83"/>
        <v>14568.11172527798</v>
      </c>
      <c r="I289" s="29">
        <f t="shared" si="84"/>
        <v>1.8761014895217618</v>
      </c>
      <c r="J289" s="32">
        <f t="shared" si="85"/>
        <v>7765.0978940331988</v>
      </c>
    </row>
    <row r="290" spans="1:10" x14ac:dyDescent="0.25">
      <c r="A290" s="24">
        <v>2038</v>
      </c>
      <c r="B290" s="26" t="s">
        <v>32</v>
      </c>
      <c r="C290" s="26">
        <v>23</v>
      </c>
      <c r="D290" s="27">
        <v>0.02</v>
      </c>
      <c r="E290" s="33">
        <v>3.4200000000000001E-2</v>
      </c>
      <c r="F290" s="28">
        <v>10000</v>
      </c>
      <c r="G290" s="29">
        <f t="shared" si="86"/>
        <v>1.4859473959783542</v>
      </c>
      <c r="H290" s="31">
        <f t="shared" si="83"/>
        <v>14859.473959783543</v>
      </c>
      <c r="I290" s="29">
        <f t="shared" si="84"/>
        <v>1.9592536689906859</v>
      </c>
      <c r="J290" s="32">
        <f t="shared" si="85"/>
        <v>7584.2522052993963</v>
      </c>
    </row>
    <row r="291" spans="1:10" x14ac:dyDescent="0.25">
      <c r="A291" s="24">
        <v>2039</v>
      </c>
      <c r="B291" s="26" t="s">
        <v>33</v>
      </c>
      <c r="C291" s="26">
        <v>24</v>
      </c>
      <c r="D291" s="27">
        <v>0.02</v>
      </c>
      <c r="E291" s="33">
        <v>3.4799999999999998E-2</v>
      </c>
      <c r="F291" s="28">
        <v>10000</v>
      </c>
      <c r="G291" s="29">
        <f t="shared" si="86"/>
        <v>1.5156663438979212</v>
      </c>
      <c r="H291" s="31">
        <f t="shared" si="83"/>
        <v>15156.663438979213</v>
      </c>
      <c r="I291" s="29">
        <f t="shared" si="84"/>
        <v>2.0510904897251478</v>
      </c>
      <c r="J291" s="32">
        <f t="shared" si="85"/>
        <v>7389.5635101941552</v>
      </c>
    </row>
    <row r="292" spans="1:10" x14ac:dyDescent="0.25">
      <c r="A292" s="24">
        <v>2040</v>
      </c>
      <c r="B292" s="26" t="s">
        <v>34</v>
      </c>
      <c r="C292" s="26">
        <v>25</v>
      </c>
      <c r="D292" s="27">
        <v>0.02</v>
      </c>
      <c r="E292" s="33">
        <v>3.5000000000000003E-2</v>
      </c>
      <c r="F292" s="28">
        <v>10000</v>
      </c>
      <c r="G292" s="29">
        <f t="shared" si="86"/>
        <v>1.5459796707758797</v>
      </c>
      <c r="H292" s="31">
        <f t="shared" si="83"/>
        <v>15459.796707758796</v>
      </c>
      <c r="I292" s="29">
        <f t="shared" si="84"/>
        <v>2.1315115752661971</v>
      </c>
      <c r="J292" s="32">
        <f t="shared" si="85"/>
        <v>7252.9733768056485</v>
      </c>
    </row>
    <row r="293" spans="1:10" x14ac:dyDescent="0.25">
      <c r="A293" s="24">
        <v>2041</v>
      </c>
      <c r="B293" s="26" t="s">
        <v>100</v>
      </c>
      <c r="C293" s="26">
        <v>26</v>
      </c>
      <c r="D293" s="27">
        <v>0.02</v>
      </c>
      <c r="E293" s="72">
        <v>3.5099999999999999E-2</v>
      </c>
      <c r="F293" s="28">
        <v>10000</v>
      </c>
      <c r="G293" s="29">
        <f t="shared" ref="G293:G300" si="87">(1+D293)^(C293-$C$189)</f>
        <v>1.576899264191397</v>
      </c>
      <c r="H293" s="31">
        <f t="shared" ref="H293:H300" si="88">F293*((1+D293)^(C293-$C$189))</f>
        <v>15768.99264191397</v>
      </c>
      <c r="I293" s="29">
        <f t="shared" ref="I293:I300" si="89">(1+E293)^(C293-$C$189)</f>
        <v>2.2110221709108755</v>
      </c>
      <c r="J293" s="32">
        <f t="shared" ref="J293:J300" si="90">H293/I293</f>
        <v>7131.992093691948</v>
      </c>
    </row>
    <row r="294" spans="1:10" x14ac:dyDescent="0.25">
      <c r="A294" s="24">
        <v>2042</v>
      </c>
      <c r="B294" s="26" t="s">
        <v>101</v>
      </c>
      <c r="C294" s="26">
        <v>27</v>
      </c>
      <c r="D294" s="27">
        <v>0.02</v>
      </c>
      <c r="E294" s="72">
        <v>3.5099999999999999E-2</v>
      </c>
      <c r="F294" s="28">
        <v>10000</v>
      </c>
      <c r="G294" s="29">
        <f t="shared" si="87"/>
        <v>1.608437249475225</v>
      </c>
      <c r="H294" s="31">
        <f t="shared" si="88"/>
        <v>16084.37249475225</v>
      </c>
      <c r="I294" s="29">
        <f t="shared" si="89"/>
        <v>2.2886290491098471</v>
      </c>
      <c r="J294" s="32">
        <f t="shared" si="90"/>
        <v>7027.9508603669083</v>
      </c>
    </row>
    <row r="295" spans="1:10" x14ac:dyDescent="0.25">
      <c r="A295" s="24">
        <v>2043</v>
      </c>
      <c r="B295" s="26" t="s">
        <v>102</v>
      </c>
      <c r="C295" s="26">
        <v>28</v>
      </c>
      <c r="D295" s="27">
        <v>0.02</v>
      </c>
      <c r="E295" s="72">
        <v>3.5099999999999999E-2</v>
      </c>
      <c r="F295" s="28">
        <v>10000</v>
      </c>
      <c r="G295" s="29">
        <f t="shared" si="87"/>
        <v>1.6406059944647295</v>
      </c>
      <c r="H295" s="31">
        <f t="shared" si="88"/>
        <v>16406.059944647295</v>
      </c>
      <c r="I295" s="29">
        <f t="shared" si="89"/>
        <v>2.3689599287336027</v>
      </c>
      <c r="J295" s="32">
        <f t="shared" si="90"/>
        <v>6925.4273766537017</v>
      </c>
    </row>
    <row r="296" spans="1:10" x14ac:dyDescent="0.25">
      <c r="A296" s="24">
        <v>2044</v>
      </c>
      <c r="B296" s="26" t="s">
        <v>103</v>
      </c>
      <c r="C296" s="26">
        <v>29</v>
      </c>
      <c r="D296" s="27">
        <v>0.02</v>
      </c>
      <c r="E296" s="72">
        <v>3.5099999999999999E-2</v>
      </c>
      <c r="F296" s="28">
        <v>10000</v>
      </c>
      <c r="G296" s="29">
        <f t="shared" si="87"/>
        <v>1.6734181143540243</v>
      </c>
      <c r="H296" s="31">
        <f t="shared" si="88"/>
        <v>16734.181143540241</v>
      </c>
      <c r="I296" s="29">
        <f t="shared" si="89"/>
        <v>2.4521104222321521</v>
      </c>
      <c r="J296" s="32">
        <f t="shared" si="90"/>
        <v>6824.3995016778827</v>
      </c>
    </row>
    <row r="297" spans="1:10" x14ac:dyDescent="0.25">
      <c r="A297" s="24">
        <v>2045</v>
      </c>
      <c r="B297" s="26" t="s">
        <v>104</v>
      </c>
      <c r="C297" s="26">
        <v>30</v>
      </c>
      <c r="D297" s="27">
        <v>0.02</v>
      </c>
      <c r="E297" s="72">
        <v>3.5099999999999999E-2</v>
      </c>
      <c r="F297" s="28">
        <v>10000</v>
      </c>
      <c r="G297" s="29">
        <f t="shared" si="87"/>
        <v>1.7068864766411045</v>
      </c>
      <c r="H297" s="31">
        <f t="shared" si="88"/>
        <v>17068.864766411043</v>
      </c>
      <c r="I297" s="29">
        <f t="shared" si="89"/>
        <v>2.5381794980525001</v>
      </c>
      <c r="J297" s="32">
        <f t="shared" si="90"/>
        <v>6724.8454175552515</v>
      </c>
    </row>
    <row r="298" spans="1:10" x14ac:dyDescent="0.25">
      <c r="A298" s="24">
        <v>2046</v>
      </c>
      <c r="B298" s="26" t="s">
        <v>105</v>
      </c>
      <c r="C298" s="26">
        <v>31</v>
      </c>
      <c r="D298" s="27">
        <v>0.02</v>
      </c>
      <c r="E298" s="72">
        <v>3.5099999999999999E-2</v>
      </c>
      <c r="F298" s="28">
        <v>10000</v>
      </c>
      <c r="G298" s="29">
        <f t="shared" si="87"/>
        <v>1.7410242061739269</v>
      </c>
      <c r="H298" s="31">
        <f t="shared" si="88"/>
        <v>17410.242061739271</v>
      </c>
      <c r="I298" s="29">
        <f t="shared" si="89"/>
        <v>2.6272695984341432</v>
      </c>
      <c r="J298" s="32">
        <f t="shared" si="90"/>
        <v>6626.7436246800871</v>
      </c>
    </row>
    <row r="299" spans="1:10" x14ac:dyDescent="0.25">
      <c r="A299" s="24">
        <v>2047</v>
      </c>
      <c r="B299" s="26" t="s">
        <v>106</v>
      </c>
      <c r="C299" s="26">
        <v>32</v>
      </c>
      <c r="D299" s="27">
        <v>0.02</v>
      </c>
      <c r="E299" s="72">
        <v>3.5099999999999999E-2</v>
      </c>
      <c r="F299" s="28">
        <v>10000</v>
      </c>
      <c r="G299" s="29">
        <f t="shared" si="87"/>
        <v>1.7758446902974052</v>
      </c>
      <c r="H299" s="31">
        <f t="shared" si="88"/>
        <v>17758.446902974054</v>
      </c>
      <c r="I299" s="29">
        <f t="shared" si="89"/>
        <v>2.7194867613391813</v>
      </c>
      <c r="J299" s="32">
        <f t="shared" si="90"/>
        <v>6530.0729370821064</v>
      </c>
    </row>
    <row r="300" spans="1:10" x14ac:dyDescent="0.25">
      <c r="A300" s="24">
        <v>2048</v>
      </c>
      <c r="B300" s="26" t="s">
        <v>107</v>
      </c>
      <c r="C300" s="26">
        <v>33</v>
      </c>
      <c r="D300" s="27">
        <v>0.02</v>
      </c>
      <c r="E300" s="72">
        <v>3.5099999999999999E-2</v>
      </c>
      <c r="F300" s="28">
        <v>10000</v>
      </c>
      <c r="G300" s="29">
        <f t="shared" si="87"/>
        <v>1.8113615841033535</v>
      </c>
      <c r="H300" s="31">
        <f t="shared" si="88"/>
        <v>18113.615841033534</v>
      </c>
      <c r="I300" s="29">
        <f t="shared" si="89"/>
        <v>2.8149407466621863</v>
      </c>
      <c r="J300" s="32">
        <f t="shared" si="90"/>
        <v>6434.8124778511728</v>
      </c>
    </row>
    <row r="301" spans="1:10" x14ac:dyDescent="0.25">
      <c r="A301" s="24">
        <v>2049</v>
      </c>
      <c r="B301" s="26" t="s">
        <v>108</v>
      </c>
      <c r="C301" s="26">
        <v>34</v>
      </c>
      <c r="D301" s="27">
        <v>0.02</v>
      </c>
      <c r="E301" s="72">
        <v>3.5099999999999999E-2</v>
      </c>
      <c r="F301" s="28">
        <v>10000</v>
      </c>
      <c r="G301" s="29">
        <f t="shared" ref="G301:G302" si="91">(1+D301)^(C301-$C$189)</f>
        <v>1.8475888157854201</v>
      </c>
      <c r="H301" s="31">
        <f t="shared" ref="H301:H302" si="92">F301*((1+D301)^(C301-$C$189))</f>
        <v>18475.888157854202</v>
      </c>
      <c r="I301" s="29">
        <f t="shared" ref="I301:I302" si="93">(1+E301)^(C301-$C$189)</f>
        <v>2.9137451668700289</v>
      </c>
      <c r="J301" s="32">
        <f t="shared" ref="J301:J302" si="94">H301/I301</f>
        <v>6340.9416746287279</v>
      </c>
    </row>
    <row r="302" spans="1:10" ht="15.75" thickBot="1" x14ac:dyDescent="0.3">
      <c r="A302" s="15">
        <v>2050</v>
      </c>
      <c r="B302" s="16" t="s">
        <v>109</v>
      </c>
      <c r="C302" s="16">
        <v>35</v>
      </c>
      <c r="D302" s="34">
        <v>0.02</v>
      </c>
      <c r="E302" s="79">
        <v>3.5099999999999999E-2</v>
      </c>
      <c r="F302" s="36">
        <v>10000</v>
      </c>
      <c r="G302" s="37">
        <f t="shared" si="91"/>
        <v>1.8845405921011289</v>
      </c>
      <c r="H302" s="38">
        <f t="shared" si="92"/>
        <v>18845.40592101129</v>
      </c>
      <c r="I302" s="37">
        <f t="shared" si="93"/>
        <v>3.0160176222271669</v>
      </c>
      <c r="J302" s="39">
        <f t="shared" si="94"/>
        <v>6248.4402551650119</v>
      </c>
    </row>
    <row r="303" spans="1:10" ht="15.75" thickBot="1" x14ac:dyDescent="0.3"/>
    <row r="304" spans="1:10" x14ac:dyDescent="0.25">
      <c r="A304" s="54"/>
      <c r="B304" s="96" t="s">
        <v>48</v>
      </c>
      <c r="C304" s="97"/>
      <c r="D304" s="97"/>
      <c r="E304" s="97"/>
      <c r="F304" s="97"/>
      <c r="G304" s="97"/>
      <c r="H304" s="97"/>
      <c r="I304" s="97"/>
      <c r="J304" s="98"/>
    </row>
    <row r="305" spans="1:14" ht="60.75" thickBot="1" x14ac:dyDescent="0.3">
      <c r="A305" s="55"/>
      <c r="B305" s="56"/>
      <c r="C305" s="57"/>
      <c r="D305" s="58" t="s">
        <v>40</v>
      </c>
      <c r="E305" s="58" t="s">
        <v>47</v>
      </c>
      <c r="F305" s="58" t="s">
        <v>39</v>
      </c>
      <c r="G305" s="58" t="s">
        <v>44</v>
      </c>
      <c r="H305" s="59" t="s">
        <v>41</v>
      </c>
      <c r="I305" s="59" t="s">
        <v>43</v>
      </c>
      <c r="J305" s="60" t="s">
        <v>42</v>
      </c>
    </row>
    <row r="306" spans="1:14" ht="15" customHeight="1" thickBot="1" x14ac:dyDescent="0.3">
      <c r="A306" s="17"/>
      <c r="B306" s="9" t="s">
        <v>54</v>
      </c>
      <c r="C306" s="10"/>
      <c r="D306" s="11"/>
      <c r="E306" s="11"/>
      <c r="F306" s="11"/>
      <c r="G306" s="11"/>
      <c r="H306" s="12"/>
      <c r="I306" s="12"/>
      <c r="J306" s="18">
        <f>SUM(J307:J341)</f>
        <v>244527.75535131467</v>
      </c>
      <c r="N306" s="8"/>
    </row>
    <row r="307" spans="1:14" x14ac:dyDescent="0.25">
      <c r="A307" s="13">
        <v>2016</v>
      </c>
      <c r="B307" s="14" t="s">
        <v>10</v>
      </c>
      <c r="C307" s="14">
        <v>1</v>
      </c>
      <c r="D307" s="20">
        <v>0.02</v>
      </c>
      <c r="E307" s="20">
        <v>0</v>
      </c>
      <c r="F307" s="21">
        <v>0</v>
      </c>
      <c r="G307" s="22">
        <f t="shared" ref="G307" si="95">(1+D307)^(C307-$C$68)</f>
        <v>1</v>
      </c>
      <c r="H307" s="14"/>
      <c r="I307" s="22">
        <f t="shared" ref="I307:I310" si="96">(1+E307)^(C307-$C$189)</f>
        <v>1</v>
      </c>
      <c r="J307" s="23"/>
      <c r="L307" s="8"/>
    </row>
    <row r="308" spans="1:14" x14ac:dyDescent="0.25">
      <c r="A308" s="24">
        <v>2017</v>
      </c>
      <c r="B308" s="25" t="s">
        <v>11</v>
      </c>
      <c r="C308" s="26">
        <v>2</v>
      </c>
      <c r="D308" s="27">
        <v>0.02</v>
      </c>
      <c r="E308" s="27">
        <v>0</v>
      </c>
      <c r="F308" s="28">
        <v>0</v>
      </c>
      <c r="G308" s="29">
        <f t="shared" ref="G308" si="97">(1+D308)^(C308-$C$108)</f>
        <v>1</v>
      </c>
      <c r="H308" s="26"/>
      <c r="I308" s="29">
        <f t="shared" si="96"/>
        <v>1</v>
      </c>
      <c r="J308" s="30"/>
    </row>
    <row r="309" spans="1:14" x14ac:dyDescent="0.25">
      <c r="A309" s="24">
        <v>2018</v>
      </c>
      <c r="B309" s="25" t="s">
        <v>12</v>
      </c>
      <c r="C309" s="26">
        <v>3</v>
      </c>
      <c r="D309" s="27">
        <v>0.02</v>
      </c>
      <c r="E309" s="27">
        <v>0</v>
      </c>
      <c r="F309" s="28">
        <v>0</v>
      </c>
      <c r="G309" s="29">
        <f>(1+D309)^(C309-$C$189)</f>
        <v>1</v>
      </c>
      <c r="H309" s="26"/>
      <c r="I309" s="29">
        <f t="shared" si="96"/>
        <v>1</v>
      </c>
      <c r="J309" s="30"/>
    </row>
    <row r="310" spans="1:14" x14ac:dyDescent="0.25">
      <c r="A310" s="24">
        <v>2019</v>
      </c>
      <c r="B310" s="25" t="s">
        <v>13</v>
      </c>
      <c r="C310" s="26">
        <v>4</v>
      </c>
      <c r="D310" s="27">
        <v>0.02</v>
      </c>
      <c r="E310" s="27">
        <v>0</v>
      </c>
      <c r="F310" s="28">
        <v>0</v>
      </c>
      <c r="G310" s="29">
        <f>(1+D310)^(C310-$C$189)</f>
        <v>1.02</v>
      </c>
      <c r="H310" s="26"/>
      <c r="I310" s="29">
        <f t="shared" si="96"/>
        <v>1</v>
      </c>
      <c r="J310" s="30"/>
    </row>
    <row r="311" spans="1:14" x14ac:dyDescent="0.25">
      <c r="A311" s="24">
        <v>2020</v>
      </c>
      <c r="B311" s="25" t="s">
        <v>14</v>
      </c>
      <c r="C311" s="26">
        <v>5</v>
      </c>
      <c r="D311" s="27">
        <v>0.02</v>
      </c>
      <c r="E311" s="27">
        <v>0</v>
      </c>
      <c r="F311" s="28">
        <v>0</v>
      </c>
      <c r="G311" s="29">
        <f t="shared" ref="G311:G331" si="98">(1+D311)^(C311-$C$311)</f>
        <v>1</v>
      </c>
      <c r="H311" s="31">
        <f>F311*((1+D311)^(C311-$C$189))</f>
        <v>0</v>
      </c>
      <c r="I311" s="29">
        <f>(1+E311)^(C311-$C$189)</f>
        <v>1</v>
      </c>
      <c r="J311" s="32">
        <f>H311/I311</f>
        <v>0</v>
      </c>
    </row>
    <row r="312" spans="1:14" x14ac:dyDescent="0.25">
      <c r="A312" s="24">
        <v>2021</v>
      </c>
      <c r="B312" s="26" t="s">
        <v>15</v>
      </c>
      <c r="C312" s="25">
        <v>6</v>
      </c>
      <c r="D312" s="71">
        <v>0.02</v>
      </c>
      <c r="E312" s="72">
        <v>1.8450000000000001E-2</v>
      </c>
      <c r="F312" s="73">
        <v>10000</v>
      </c>
      <c r="G312" s="74">
        <f t="shared" si="98"/>
        <v>1.02</v>
      </c>
      <c r="H312" s="75">
        <f t="shared" ref="H312:H331" si="99">F312*((1+D312)^(C312-$C$189))</f>
        <v>10612.08</v>
      </c>
      <c r="I312" s="74">
        <f t="shared" ref="I312:I331" si="100">(1+E312)^(C312-$C$189)</f>
        <v>1.0563774879261252</v>
      </c>
      <c r="J312" s="76">
        <f t="shared" ref="J312:J331" si="101">H312/I312</f>
        <v>10045.727139484561</v>
      </c>
    </row>
    <row r="313" spans="1:14" x14ac:dyDescent="0.25">
      <c r="A313" s="24">
        <v>2022</v>
      </c>
      <c r="B313" s="26" t="s">
        <v>16</v>
      </c>
      <c r="C313" s="25">
        <v>7</v>
      </c>
      <c r="D313" s="71">
        <v>0.02</v>
      </c>
      <c r="E313" s="72">
        <v>1.9199999999999998E-2</v>
      </c>
      <c r="F313" s="73">
        <v>10000</v>
      </c>
      <c r="G313" s="74">
        <f t="shared" si="98"/>
        <v>1.0404</v>
      </c>
      <c r="H313" s="75">
        <f t="shared" si="99"/>
        <v>10824.321599999999</v>
      </c>
      <c r="I313" s="74">
        <f t="shared" si="100"/>
        <v>1.0790402874474501</v>
      </c>
      <c r="J313" s="76">
        <f t="shared" si="101"/>
        <v>10031.434160448018</v>
      </c>
    </row>
    <row r="314" spans="1:14" x14ac:dyDescent="0.25">
      <c r="A314" s="24">
        <v>2023</v>
      </c>
      <c r="B314" s="26" t="s">
        <v>17</v>
      </c>
      <c r="C314" s="25">
        <v>8</v>
      </c>
      <c r="D314" s="71">
        <v>0.02</v>
      </c>
      <c r="E314" s="72">
        <v>1.9789999999999999E-2</v>
      </c>
      <c r="F314" s="73">
        <v>10000</v>
      </c>
      <c r="G314" s="74">
        <f t="shared" si="98"/>
        <v>1.0612079999999999</v>
      </c>
      <c r="H314" s="75">
        <f t="shared" si="99"/>
        <v>11040.808032000001</v>
      </c>
      <c r="I314" s="74">
        <f t="shared" si="100"/>
        <v>1.1029447173283864</v>
      </c>
      <c r="J314" s="76">
        <f t="shared" si="101"/>
        <v>10010.300478834202</v>
      </c>
    </row>
    <row r="315" spans="1:14" x14ac:dyDescent="0.25">
      <c r="A315" s="24">
        <v>2024</v>
      </c>
      <c r="B315" s="26" t="s">
        <v>18</v>
      </c>
      <c r="C315" s="25">
        <v>9</v>
      </c>
      <c r="D315" s="71">
        <v>0.02</v>
      </c>
      <c r="E315" s="72">
        <v>2.0119999999999999E-2</v>
      </c>
      <c r="F315" s="73">
        <v>10000</v>
      </c>
      <c r="G315" s="74">
        <f t="shared" si="98"/>
        <v>1.08243216</v>
      </c>
      <c r="H315" s="75">
        <f t="shared" si="99"/>
        <v>11261.62419264</v>
      </c>
      <c r="I315" s="74">
        <f t="shared" si="100"/>
        <v>1.1269575912843284</v>
      </c>
      <c r="J315" s="76">
        <f t="shared" si="101"/>
        <v>9992.9440821333646</v>
      </c>
    </row>
    <row r="316" spans="1:14" x14ac:dyDescent="0.25">
      <c r="A316" s="24">
        <v>2025</v>
      </c>
      <c r="B316" s="26" t="s">
        <v>19</v>
      </c>
      <c r="C316" s="25">
        <v>10</v>
      </c>
      <c r="D316" s="71">
        <v>0.02</v>
      </c>
      <c r="E316" s="72">
        <v>2.197E-2</v>
      </c>
      <c r="F316" s="73">
        <v>10000</v>
      </c>
      <c r="G316" s="74">
        <f t="shared" si="98"/>
        <v>1.1040808032</v>
      </c>
      <c r="H316" s="75">
        <f t="shared" si="99"/>
        <v>11486.856676492798</v>
      </c>
      <c r="I316" s="74">
        <f t="shared" si="100"/>
        <v>1.164305718987882</v>
      </c>
      <c r="J316" s="76">
        <f t="shared" si="101"/>
        <v>9865.8423549428189</v>
      </c>
    </row>
    <row r="317" spans="1:14" x14ac:dyDescent="0.25">
      <c r="A317" s="24">
        <v>2026</v>
      </c>
      <c r="B317" s="26" t="s">
        <v>20</v>
      </c>
      <c r="C317" s="25">
        <v>11</v>
      </c>
      <c r="D317" s="71">
        <v>0.02</v>
      </c>
      <c r="E317" s="72">
        <v>2.383E-2</v>
      </c>
      <c r="F317" s="73">
        <v>10000</v>
      </c>
      <c r="G317" s="74">
        <f t="shared" si="98"/>
        <v>1.1261624192640001</v>
      </c>
      <c r="H317" s="75">
        <f t="shared" si="99"/>
        <v>11716.593810022656</v>
      </c>
      <c r="I317" s="74">
        <f t="shared" si="100"/>
        <v>1.2073211476448324</v>
      </c>
      <c r="J317" s="76">
        <f t="shared" si="101"/>
        <v>9704.6207074883623</v>
      </c>
    </row>
    <row r="318" spans="1:14" x14ac:dyDescent="0.25">
      <c r="A318" s="24">
        <v>2027</v>
      </c>
      <c r="B318" s="26" t="s">
        <v>21</v>
      </c>
      <c r="C318" s="25">
        <v>12</v>
      </c>
      <c r="D318" s="71">
        <v>0.02</v>
      </c>
      <c r="E318" s="72">
        <v>2.547E-2</v>
      </c>
      <c r="F318" s="73">
        <v>10000</v>
      </c>
      <c r="G318" s="74">
        <f t="shared" si="98"/>
        <v>1.1486856676492798</v>
      </c>
      <c r="H318" s="75">
        <f t="shared" si="99"/>
        <v>11950.925686223109</v>
      </c>
      <c r="I318" s="74">
        <f t="shared" si="100"/>
        <v>1.2540262772295203</v>
      </c>
      <c r="J318" s="76">
        <f t="shared" si="101"/>
        <v>9530.0440694320241</v>
      </c>
    </row>
    <row r="319" spans="1:14" x14ac:dyDescent="0.25">
      <c r="A319" s="24">
        <v>2028</v>
      </c>
      <c r="B319" s="26" t="s">
        <v>22</v>
      </c>
      <c r="C319" s="25">
        <v>13</v>
      </c>
      <c r="D319" s="71">
        <v>0.02</v>
      </c>
      <c r="E319" s="72">
        <v>2.6919999999999999E-2</v>
      </c>
      <c r="F319" s="73">
        <v>10000</v>
      </c>
      <c r="G319" s="74">
        <f t="shared" si="98"/>
        <v>1.1716593810022655</v>
      </c>
      <c r="H319" s="75">
        <f t="shared" si="99"/>
        <v>12189.944199947571</v>
      </c>
      <c r="I319" s="74">
        <f t="shared" si="100"/>
        <v>1.3042658445623601</v>
      </c>
      <c r="J319" s="76">
        <f t="shared" si="101"/>
        <v>9346.2113193938967</v>
      </c>
    </row>
    <row r="320" spans="1:14" x14ac:dyDescent="0.25">
      <c r="A320" s="24">
        <v>2029</v>
      </c>
      <c r="B320" s="26" t="s">
        <v>23</v>
      </c>
      <c r="C320" s="25">
        <v>14</v>
      </c>
      <c r="D320" s="71">
        <v>0.02</v>
      </c>
      <c r="E320" s="72">
        <v>2.8379999999999999E-2</v>
      </c>
      <c r="F320" s="73">
        <v>10000</v>
      </c>
      <c r="G320" s="74">
        <f t="shared" si="98"/>
        <v>1.1950925686223108</v>
      </c>
      <c r="H320" s="75">
        <f t="shared" si="99"/>
        <v>12433.74308394652</v>
      </c>
      <c r="I320" s="74">
        <f t="shared" si="100"/>
        <v>1.3604727285627312</v>
      </c>
      <c r="J320" s="76">
        <f t="shared" si="101"/>
        <v>9139.2813857298879</v>
      </c>
    </row>
    <row r="321" spans="1:10" x14ac:dyDescent="0.25">
      <c r="A321" s="24">
        <v>2030</v>
      </c>
      <c r="B321" s="26" t="s">
        <v>24</v>
      </c>
      <c r="C321" s="25">
        <v>15</v>
      </c>
      <c r="D321" s="71">
        <v>0.02</v>
      </c>
      <c r="E321" s="72">
        <v>2.9250000000000002E-2</v>
      </c>
      <c r="F321" s="73">
        <v>10000</v>
      </c>
      <c r="G321" s="74">
        <f t="shared" si="98"/>
        <v>1.2189944199947571</v>
      </c>
      <c r="H321" s="75">
        <f t="shared" si="99"/>
        <v>12682.417945625453</v>
      </c>
      <c r="I321" s="74">
        <f t="shared" si="100"/>
        <v>1.4133525540041529</v>
      </c>
      <c r="J321" s="76">
        <f t="shared" si="101"/>
        <v>8973.2868912961876</v>
      </c>
    </row>
    <row r="322" spans="1:10" x14ac:dyDescent="0.25">
      <c r="A322" s="24">
        <v>2031</v>
      </c>
      <c r="B322" s="26" t="s">
        <v>25</v>
      </c>
      <c r="C322" s="25">
        <v>16</v>
      </c>
      <c r="D322" s="71">
        <v>0.02</v>
      </c>
      <c r="E322" s="72">
        <v>2.9659999999999999E-2</v>
      </c>
      <c r="F322" s="73">
        <v>10000</v>
      </c>
      <c r="G322" s="74">
        <f t="shared" si="98"/>
        <v>1.243374308394652</v>
      </c>
      <c r="H322" s="75">
        <f t="shared" si="99"/>
        <v>12936.066304537961</v>
      </c>
      <c r="I322" s="74">
        <f t="shared" si="100"/>
        <v>1.4622443165972403</v>
      </c>
      <c r="J322" s="76">
        <f t="shared" si="101"/>
        <v>8846.7201805517852</v>
      </c>
    </row>
    <row r="323" spans="1:10" x14ac:dyDescent="0.25">
      <c r="A323" s="24">
        <v>2032</v>
      </c>
      <c r="B323" s="26" t="s">
        <v>26</v>
      </c>
      <c r="C323" s="25">
        <v>17</v>
      </c>
      <c r="D323" s="71">
        <v>0.02</v>
      </c>
      <c r="E323" s="72">
        <v>3.0540000000000001E-2</v>
      </c>
      <c r="F323" s="73">
        <v>10000</v>
      </c>
      <c r="G323" s="74">
        <f t="shared" si="98"/>
        <v>1.2682417945625453</v>
      </c>
      <c r="H323" s="75">
        <f t="shared" si="99"/>
        <v>13194.787630628722</v>
      </c>
      <c r="I323" s="74">
        <f t="shared" si="100"/>
        <v>1.5237297526038924</v>
      </c>
      <c r="J323" s="76">
        <f t="shared" si="101"/>
        <v>8659.5327078704286</v>
      </c>
    </row>
    <row r="324" spans="1:10" x14ac:dyDescent="0.25">
      <c r="A324" s="24">
        <v>2033</v>
      </c>
      <c r="B324" s="26" t="s">
        <v>27</v>
      </c>
      <c r="C324" s="25">
        <v>18</v>
      </c>
      <c r="D324" s="71">
        <v>0.02</v>
      </c>
      <c r="E324" s="72">
        <v>3.1E-2</v>
      </c>
      <c r="F324" s="73">
        <v>10000</v>
      </c>
      <c r="G324" s="74">
        <f t="shared" si="98"/>
        <v>1.2936066304537961</v>
      </c>
      <c r="H324" s="75">
        <f t="shared" si="99"/>
        <v>13458.683383241292</v>
      </c>
      <c r="I324" s="74">
        <f t="shared" si="100"/>
        <v>1.5808111091282273</v>
      </c>
      <c r="J324" s="76">
        <f t="shared" si="101"/>
        <v>8513.7834024100302</v>
      </c>
    </row>
    <row r="325" spans="1:10" x14ac:dyDescent="0.25">
      <c r="A325" s="24">
        <v>2034</v>
      </c>
      <c r="B325" s="26" t="s">
        <v>28</v>
      </c>
      <c r="C325" s="25">
        <v>19</v>
      </c>
      <c r="D325" s="71">
        <v>0.02</v>
      </c>
      <c r="E325" s="72">
        <v>3.1980000000000001E-2</v>
      </c>
      <c r="F325" s="73">
        <v>10000</v>
      </c>
      <c r="G325" s="74">
        <f t="shared" si="98"/>
        <v>1.3194787630628722</v>
      </c>
      <c r="H325" s="75">
        <f t="shared" si="99"/>
        <v>13727.857050906121</v>
      </c>
      <c r="I325" s="74">
        <f t="shared" si="100"/>
        <v>1.6547808653616372</v>
      </c>
      <c r="J325" s="76">
        <f t="shared" si="101"/>
        <v>8295.8761116119294</v>
      </c>
    </row>
    <row r="326" spans="1:10" x14ac:dyDescent="0.25">
      <c r="A326" s="24">
        <v>2035</v>
      </c>
      <c r="B326" s="26" t="s">
        <v>29</v>
      </c>
      <c r="C326" s="25">
        <v>20</v>
      </c>
      <c r="D326" s="71">
        <v>0.02</v>
      </c>
      <c r="E326" s="72">
        <v>3.1980000000000001E-2</v>
      </c>
      <c r="F326" s="73">
        <v>10000</v>
      </c>
      <c r="G326" s="74">
        <f t="shared" si="98"/>
        <v>1.3458683383241292</v>
      </c>
      <c r="H326" s="75">
        <f t="shared" si="99"/>
        <v>14002.414191924245</v>
      </c>
      <c r="I326" s="74">
        <f t="shared" si="100"/>
        <v>1.7077007574359022</v>
      </c>
      <c r="J326" s="76">
        <f t="shared" si="101"/>
        <v>8199.5713423168745</v>
      </c>
    </row>
    <row r="327" spans="1:10" x14ac:dyDescent="0.25">
      <c r="A327" s="24">
        <v>2036</v>
      </c>
      <c r="B327" s="26" t="s">
        <v>30</v>
      </c>
      <c r="C327" s="25">
        <v>21</v>
      </c>
      <c r="D327" s="71">
        <v>0.02</v>
      </c>
      <c r="E327" s="72">
        <v>3.1980000000000001E-2</v>
      </c>
      <c r="F327" s="73">
        <v>10000</v>
      </c>
      <c r="G327" s="74">
        <f t="shared" si="98"/>
        <v>1.372785705090612</v>
      </c>
      <c r="H327" s="75">
        <f t="shared" si="99"/>
        <v>14282.462475762728</v>
      </c>
      <c r="I327" s="74">
        <f t="shared" si="100"/>
        <v>1.762313027658702</v>
      </c>
      <c r="J327" s="76">
        <f t="shared" si="101"/>
        <v>8104.3845512153466</v>
      </c>
    </row>
    <row r="328" spans="1:10" x14ac:dyDescent="0.25">
      <c r="A328" s="24">
        <v>2037</v>
      </c>
      <c r="B328" s="26" t="s">
        <v>31</v>
      </c>
      <c r="C328" s="25">
        <v>22</v>
      </c>
      <c r="D328" s="71">
        <v>0.02</v>
      </c>
      <c r="E328" s="72">
        <v>3.1980000000000001E-2</v>
      </c>
      <c r="F328" s="73">
        <v>10000</v>
      </c>
      <c r="G328" s="74">
        <f t="shared" si="98"/>
        <v>1.4002414191924244</v>
      </c>
      <c r="H328" s="75">
        <f t="shared" si="99"/>
        <v>14568.11172527798</v>
      </c>
      <c r="I328" s="74">
        <f t="shared" si="100"/>
        <v>1.8186717982832272</v>
      </c>
      <c r="J328" s="76">
        <f t="shared" si="101"/>
        <v>8010.3027599756315</v>
      </c>
    </row>
    <row r="329" spans="1:10" x14ac:dyDescent="0.25">
      <c r="A329" s="24">
        <v>2038</v>
      </c>
      <c r="B329" s="26" t="s">
        <v>32</v>
      </c>
      <c r="C329" s="25">
        <v>23</v>
      </c>
      <c r="D329" s="71">
        <v>0.02</v>
      </c>
      <c r="E329" s="72">
        <v>3.3669999999999999E-2</v>
      </c>
      <c r="F329" s="73">
        <v>10000</v>
      </c>
      <c r="G329" s="74">
        <f t="shared" si="98"/>
        <v>1.4282462475762727</v>
      </c>
      <c r="H329" s="75">
        <f t="shared" si="99"/>
        <v>14859.473959783543</v>
      </c>
      <c r="I329" s="74">
        <f t="shared" si="100"/>
        <v>1.9392698266739599</v>
      </c>
      <c r="J329" s="76">
        <f t="shared" si="101"/>
        <v>7662.406620985289</v>
      </c>
    </row>
    <row r="330" spans="1:10" x14ac:dyDescent="0.25">
      <c r="A330" s="24">
        <v>2039</v>
      </c>
      <c r="B330" s="26" t="s">
        <v>33</v>
      </c>
      <c r="C330" s="25">
        <v>24</v>
      </c>
      <c r="D330" s="71">
        <v>0.02</v>
      </c>
      <c r="E330" s="72">
        <v>3.4200000000000001E-2</v>
      </c>
      <c r="F330" s="73">
        <v>10000</v>
      </c>
      <c r="G330" s="74">
        <f t="shared" si="98"/>
        <v>1.4568111725277981</v>
      </c>
      <c r="H330" s="75">
        <f t="shared" si="99"/>
        <v>15156.663438979213</v>
      </c>
      <c r="I330" s="74">
        <f t="shared" si="100"/>
        <v>2.0262601444701671</v>
      </c>
      <c r="J330" s="76">
        <f t="shared" si="101"/>
        <v>7480.1172398040844</v>
      </c>
    </row>
    <row r="331" spans="1:10" x14ac:dyDescent="0.25">
      <c r="A331" s="24">
        <v>2040</v>
      </c>
      <c r="B331" s="26" t="s">
        <v>34</v>
      </c>
      <c r="C331" s="25">
        <v>25</v>
      </c>
      <c r="D331" s="71">
        <v>0.02</v>
      </c>
      <c r="E331" s="72">
        <v>3.4799999999999998E-2</v>
      </c>
      <c r="F331" s="73">
        <v>10000</v>
      </c>
      <c r="G331" s="74">
        <f t="shared" si="98"/>
        <v>1.4859473959783542</v>
      </c>
      <c r="H331" s="75">
        <f t="shared" si="99"/>
        <v>15459.796707758796</v>
      </c>
      <c r="I331" s="74">
        <f t="shared" si="100"/>
        <v>2.1224684387675827</v>
      </c>
      <c r="J331" s="76">
        <f t="shared" si="101"/>
        <v>7283.8758991090444</v>
      </c>
    </row>
    <row r="332" spans="1:10" x14ac:dyDescent="0.25">
      <c r="A332" s="24">
        <v>2041</v>
      </c>
      <c r="B332" s="26" t="s">
        <v>100</v>
      </c>
      <c r="C332" s="25">
        <v>26</v>
      </c>
      <c r="D332" s="71">
        <v>0.02</v>
      </c>
      <c r="E332" s="72">
        <v>3.5000000000000003E-2</v>
      </c>
      <c r="F332" s="73">
        <v>10000</v>
      </c>
      <c r="G332" s="74">
        <f t="shared" ref="G332:G341" si="102">(1+D332)^(C332-$C$311)</f>
        <v>1.5156663438979212</v>
      </c>
      <c r="H332" s="75">
        <f t="shared" ref="H332:H341" si="103">F332*((1+D332)^(C332-$C$189))</f>
        <v>15768.99264191397</v>
      </c>
      <c r="I332" s="74">
        <f t="shared" ref="I332:I341" si="104">(1+E332)^(C332-$C$189)</f>
        <v>2.2061144804005139</v>
      </c>
      <c r="J332" s="76">
        <f t="shared" ref="J332:J341" si="105">H332/I332</f>
        <v>7147.8578206200582</v>
      </c>
    </row>
    <row r="333" spans="1:10" x14ac:dyDescent="0.25">
      <c r="A333" s="24">
        <v>2042</v>
      </c>
      <c r="B333" s="26" t="s">
        <v>101</v>
      </c>
      <c r="C333" s="25">
        <v>27</v>
      </c>
      <c r="D333" s="71">
        <v>0.02</v>
      </c>
      <c r="E333" s="72">
        <v>3.5099999999999999E-2</v>
      </c>
      <c r="F333" s="73">
        <v>10000</v>
      </c>
      <c r="G333" s="74">
        <f t="shared" si="102"/>
        <v>1.5459796707758797</v>
      </c>
      <c r="H333" s="75">
        <f t="shared" si="103"/>
        <v>16084.37249475225</v>
      </c>
      <c r="I333" s="74">
        <f t="shared" si="104"/>
        <v>2.2886290491098471</v>
      </c>
      <c r="J333" s="76">
        <f t="shared" si="105"/>
        <v>7027.9508603669083</v>
      </c>
    </row>
    <row r="334" spans="1:10" x14ac:dyDescent="0.25">
      <c r="A334" s="24">
        <v>2043</v>
      </c>
      <c r="B334" s="26" t="s">
        <v>102</v>
      </c>
      <c r="C334" s="25">
        <v>28</v>
      </c>
      <c r="D334" s="71">
        <v>0.02</v>
      </c>
      <c r="E334" s="72">
        <v>3.5099999999999999E-2</v>
      </c>
      <c r="F334" s="73">
        <v>10000</v>
      </c>
      <c r="G334" s="74">
        <f t="shared" si="102"/>
        <v>1.576899264191397</v>
      </c>
      <c r="H334" s="75">
        <f t="shared" si="103"/>
        <v>16406.059944647295</v>
      </c>
      <c r="I334" s="74">
        <f t="shared" si="104"/>
        <v>2.3689599287336027</v>
      </c>
      <c r="J334" s="76">
        <f t="shared" si="105"/>
        <v>6925.4273766537017</v>
      </c>
    </row>
    <row r="335" spans="1:10" x14ac:dyDescent="0.25">
      <c r="A335" s="24">
        <v>2044</v>
      </c>
      <c r="B335" s="26" t="s">
        <v>103</v>
      </c>
      <c r="C335" s="25">
        <v>29</v>
      </c>
      <c r="D335" s="71">
        <v>0.02</v>
      </c>
      <c r="E335" s="72">
        <v>3.5099999999999999E-2</v>
      </c>
      <c r="F335" s="73">
        <v>10000</v>
      </c>
      <c r="G335" s="74">
        <f t="shared" si="102"/>
        <v>1.608437249475225</v>
      </c>
      <c r="H335" s="75">
        <f t="shared" si="103"/>
        <v>16734.181143540241</v>
      </c>
      <c r="I335" s="74">
        <f t="shared" si="104"/>
        <v>2.4521104222321521</v>
      </c>
      <c r="J335" s="76">
        <f t="shared" si="105"/>
        <v>6824.3995016778827</v>
      </c>
    </row>
    <row r="336" spans="1:10" x14ac:dyDescent="0.25">
      <c r="A336" s="24">
        <v>2045</v>
      </c>
      <c r="B336" s="26" t="s">
        <v>104</v>
      </c>
      <c r="C336" s="25">
        <v>30</v>
      </c>
      <c r="D336" s="71">
        <v>0.02</v>
      </c>
      <c r="E336" s="72">
        <v>3.5099999999999999E-2</v>
      </c>
      <c r="F336" s="73">
        <v>10000</v>
      </c>
      <c r="G336" s="74">
        <f t="shared" si="102"/>
        <v>1.6406059944647295</v>
      </c>
      <c r="H336" s="75">
        <f t="shared" si="103"/>
        <v>17068.864766411043</v>
      </c>
      <c r="I336" s="74">
        <f t="shared" si="104"/>
        <v>2.5381794980525001</v>
      </c>
      <c r="J336" s="76">
        <f t="shared" si="105"/>
        <v>6724.8454175552515</v>
      </c>
    </row>
    <row r="337" spans="1:10" x14ac:dyDescent="0.25">
      <c r="A337" s="24">
        <v>2046</v>
      </c>
      <c r="B337" s="26" t="s">
        <v>105</v>
      </c>
      <c r="C337" s="25">
        <v>31</v>
      </c>
      <c r="D337" s="71">
        <v>0.02</v>
      </c>
      <c r="E337" s="72">
        <v>3.5099999999999999E-2</v>
      </c>
      <c r="F337" s="73">
        <v>10000</v>
      </c>
      <c r="G337" s="74">
        <f t="shared" si="102"/>
        <v>1.6734181143540243</v>
      </c>
      <c r="H337" s="75">
        <f t="shared" si="103"/>
        <v>17410.242061739271</v>
      </c>
      <c r="I337" s="74">
        <f t="shared" si="104"/>
        <v>2.6272695984341432</v>
      </c>
      <c r="J337" s="76">
        <f t="shared" si="105"/>
        <v>6626.7436246800871</v>
      </c>
    </row>
    <row r="338" spans="1:10" x14ac:dyDescent="0.25">
      <c r="A338" s="24">
        <v>2047</v>
      </c>
      <c r="B338" s="26" t="s">
        <v>106</v>
      </c>
      <c r="C338" s="25">
        <v>32</v>
      </c>
      <c r="D338" s="71">
        <v>0.02</v>
      </c>
      <c r="E338" s="72">
        <v>3.5099999999999999E-2</v>
      </c>
      <c r="F338" s="73">
        <v>10000</v>
      </c>
      <c r="G338" s="74">
        <f t="shared" si="102"/>
        <v>1.7068864766411045</v>
      </c>
      <c r="H338" s="75">
        <f t="shared" si="103"/>
        <v>17758.446902974054</v>
      </c>
      <c r="I338" s="74">
        <f t="shared" si="104"/>
        <v>2.7194867613391813</v>
      </c>
      <c r="J338" s="76">
        <f t="shared" si="105"/>
        <v>6530.0729370821064</v>
      </c>
    </row>
    <row r="339" spans="1:10" x14ac:dyDescent="0.25">
      <c r="A339" s="24">
        <v>2048</v>
      </c>
      <c r="B339" s="26" t="s">
        <v>107</v>
      </c>
      <c r="C339" s="25">
        <v>33</v>
      </c>
      <c r="D339" s="71">
        <v>0.02</v>
      </c>
      <c r="E339" s="72">
        <v>3.5099999999999999E-2</v>
      </c>
      <c r="F339" s="73">
        <v>10000</v>
      </c>
      <c r="G339" s="74">
        <f t="shared" si="102"/>
        <v>1.7410242061739269</v>
      </c>
      <c r="H339" s="75">
        <f t="shared" si="103"/>
        <v>18113.615841033534</v>
      </c>
      <c r="I339" s="74">
        <f t="shared" si="104"/>
        <v>2.8149407466621863</v>
      </c>
      <c r="J339" s="76">
        <f t="shared" si="105"/>
        <v>6434.8124778511728</v>
      </c>
    </row>
    <row r="340" spans="1:10" x14ac:dyDescent="0.25">
      <c r="A340" s="24">
        <v>2049</v>
      </c>
      <c r="B340" s="26" t="s">
        <v>108</v>
      </c>
      <c r="C340" s="25">
        <v>34</v>
      </c>
      <c r="D340" s="71">
        <v>0.02</v>
      </c>
      <c r="E340" s="72">
        <v>3.5099999999999999E-2</v>
      </c>
      <c r="F340" s="73">
        <v>10000</v>
      </c>
      <c r="G340" s="74">
        <f t="shared" si="102"/>
        <v>1.7758446902974052</v>
      </c>
      <c r="H340" s="75">
        <f t="shared" si="103"/>
        <v>18475.888157854202</v>
      </c>
      <c r="I340" s="74">
        <f t="shared" si="104"/>
        <v>2.9137451668700289</v>
      </c>
      <c r="J340" s="76">
        <f t="shared" si="105"/>
        <v>6340.9416746287279</v>
      </c>
    </row>
    <row r="341" spans="1:10" ht="15.75" thickBot="1" x14ac:dyDescent="0.3">
      <c r="A341" s="15">
        <v>2050</v>
      </c>
      <c r="B341" s="16" t="s">
        <v>109</v>
      </c>
      <c r="C341" s="77">
        <v>35</v>
      </c>
      <c r="D341" s="78">
        <v>0.02</v>
      </c>
      <c r="E341" s="79">
        <v>3.5099999999999999E-2</v>
      </c>
      <c r="F341" s="80">
        <v>10000</v>
      </c>
      <c r="G341" s="81">
        <f t="shared" si="102"/>
        <v>1.8113615841033535</v>
      </c>
      <c r="H341" s="82">
        <f t="shared" si="103"/>
        <v>18845.40592101129</v>
      </c>
      <c r="I341" s="81">
        <f t="shared" si="104"/>
        <v>3.0160176222271669</v>
      </c>
      <c r="J341" s="83">
        <f t="shared" si="105"/>
        <v>6248.4402551650119</v>
      </c>
    </row>
  </sheetData>
  <mergeCells count="8">
    <mergeCell ref="B304:J304"/>
    <mergeCell ref="B265:J265"/>
    <mergeCell ref="B65:J65"/>
    <mergeCell ref="B25:J25"/>
    <mergeCell ref="B104:J104"/>
    <mergeCell ref="B144:J144"/>
    <mergeCell ref="B184:J184"/>
    <mergeCell ref="B224:J224"/>
  </mergeCells>
  <pageMargins left="0.7" right="0.7" top="0.75" bottom="0.75" header="0.3" footer="0.3"/>
  <pageSetup paperSize="9" scale="54" fitToHeight="0" orientation="portrait" r:id="rId1"/>
  <rowBreaks count="4" manualBreakCount="4">
    <brk id="63" max="16383" man="1"/>
    <brk id="142" max="16383" man="1"/>
    <brk id="222" max="16383" man="1"/>
    <brk id="30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33"/>
  <sheetViews>
    <sheetView tabSelected="1" topLeftCell="B1" workbookViewId="0">
      <selection activeCell="J26" sqref="J26"/>
    </sheetView>
  </sheetViews>
  <sheetFormatPr defaultRowHeight="15" x14ac:dyDescent="0.25"/>
  <cols>
    <col min="2" max="4" width="15.140625" customWidth="1"/>
    <col min="5" max="10" width="17.42578125" customWidth="1"/>
    <col min="11" max="11" width="3.5703125" customWidth="1"/>
    <col min="12" max="14" width="12.5703125" customWidth="1"/>
    <col min="15" max="16" width="12.5703125" bestFit="1" customWidth="1"/>
    <col min="18" max="19" width="10" bestFit="1" customWidth="1"/>
  </cols>
  <sheetData>
    <row r="2" spans="2:20" x14ac:dyDescent="0.25">
      <c r="B2" s="2" t="s">
        <v>97</v>
      </c>
    </row>
    <row r="4" spans="2:20" x14ac:dyDescent="0.25">
      <c r="E4" s="3"/>
    </row>
    <row r="5" spans="2:20" ht="90" x14ac:dyDescent="0.25">
      <c r="B5" s="62" t="s">
        <v>55</v>
      </c>
      <c r="C5" s="61" t="s">
        <v>61</v>
      </c>
      <c r="D5" s="61" t="s">
        <v>62</v>
      </c>
      <c r="E5" s="61" t="s">
        <v>57</v>
      </c>
      <c r="F5" s="61" t="s">
        <v>70</v>
      </c>
      <c r="G5" s="61" t="s">
        <v>58</v>
      </c>
      <c r="H5" s="61" t="s">
        <v>59</v>
      </c>
      <c r="I5" s="61" t="s">
        <v>60</v>
      </c>
      <c r="J5" s="61" t="s">
        <v>119</v>
      </c>
      <c r="K5" s="61"/>
      <c r="L5" s="61" t="s">
        <v>120</v>
      </c>
      <c r="M5" s="88" t="s">
        <v>121</v>
      </c>
      <c r="N5" s="61" t="s">
        <v>122</v>
      </c>
      <c r="O5" s="61" t="s">
        <v>123</v>
      </c>
      <c r="P5" s="61" t="s">
        <v>124</v>
      </c>
      <c r="Q5" s="3"/>
      <c r="R5" s="19"/>
      <c r="S5" s="19"/>
      <c r="T5" s="19"/>
    </row>
    <row r="6" spans="2:20" x14ac:dyDescent="0.25">
      <c r="B6" s="6">
        <v>42185</v>
      </c>
      <c r="C6" s="1">
        <v>0</v>
      </c>
      <c r="D6" s="1">
        <v>0</v>
      </c>
      <c r="E6" s="1">
        <v>0</v>
      </c>
      <c r="F6" s="1">
        <f>'Rehabilitation Provision'!J27</f>
        <v>477523.76440647896</v>
      </c>
      <c r="G6" s="1">
        <v>0</v>
      </c>
      <c r="H6" s="43">
        <f>F6</f>
        <v>477523.76440647896</v>
      </c>
      <c r="I6" s="43">
        <f>G6</f>
        <v>0</v>
      </c>
      <c r="J6" s="1">
        <f t="shared" ref="J6:J12" si="0">E6+F6-G6</f>
        <v>477523.76440647896</v>
      </c>
      <c r="L6" s="1">
        <v>300000</v>
      </c>
      <c r="M6" s="1">
        <v>215000</v>
      </c>
      <c r="N6" s="1">
        <f>J6+L6+M6</f>
        <v>992523.76440647896</v>
      </c>
      <c r="O6" s="1">
        <f>I20</f>
        <v>1073632.3175059927</v>
      </c>
      <c r="P6" s="1">
        <v>0</v>
      </c>
      <c r="R6" s="86"/>
      <c r="S6" s="86"/>
      <c r="T6" s="19"/>
    </row>
    <row r="7" spans="2:20" x14ac:dyDescent="0.25">
      <c r="B7" s="6">
        <v>42551</v>
      </c>
      <c r="C7" s="43">
        <f>H6</f>
        <v>477523.76440647896</v>
      </c>
      <c r="D7" s="43">
        <f>I6</f>
        <v>0</v>
      </c>
      <c r="E7" s="1">
        <f>J6</f>
        <v>477523.76440647896</v>
      </c>
      <c r="F7" s="1">
        <v>0</v>
      </c>
      <c r="G7" s="1">
        <f>H6*0.2</f>
        <v>95504.752881295804</v>
      </c>
      <c r="H7" s="43">
        <f>C7+F7</f>
        <v>477523.76440647896</v>
      </c>
      <c r="I7" s="43">
        <f>D7+G7</f>
        <v>95504.752881295804</v>
      </c>
      <c r="J7" s="1">
        <f t="shared" si="0"/>
        <v>382019.01152518316</v>
      </c>
      <c r="L7" s="1">
        <f>L6-60000</f>
        <v>240000</v>
      </c>
      <c r="M7" s="1">
        <f>M6-43000</f>
        <v>172000</v>
      </c>
      <c r="N7" s="1">
        <f t="shared" ref="N7:N12" si="1">J7+L7+M7</f>
        <v>794019.01152518322</v>
      </c>
      <c r="O7" s="1">
        <f>I21</f>
        <v>858305.10458439612</v>
      </c>
      <c r="P7" s="1">
        <v>0</v>
      </c>
      <c r="R7" s="86"/>
      <c r="S7" s="86"/>
      <c r="T7" s="19"/>
    </row>
    <row r="8" spans="2:20" x14ac:dyDescent="0.25">
      <c r="B8" s="6">
        <v>42916</v>
      </c>
      <c r="C8" s="43">
        <f t="shared" ref="C8:C10" si="2">H7</f>
        <v>477523.76440647896</v>
      </c>
      <c r="D8" s="43">
        <f t="shared" ref="D8:D10" si="3">I7</f>
        <v>95504.752881295804</v>
      </c>
      <c r="E8" s="1">
        <f t="shared" ref="E8:E10" si="4">J7</f>
        <v>382019.01152518316</v>
      </c>
      <c r="F8" s="1">
        <f>'Rehabilitation Provision'!D18</f>
        <v>50030.895073568914</v>
      </c>
      <c r="G8" s="1">
        <f>(E8+F8)*0.25</f>
        <v>108012.47664968802</v>
      </c>
      <c r="H8" s="43">
        <f t="shared" ref="H8:H12" si="5">C8+F8</f>
        <v>527554.65948004788</v>
      </c>
      <c r="I8" s="43">
        <f t="shared" ref="I8:I12" si="6">D8+G8</f>
        <v>203517.22953098384</v>
      </c>
      <c r="J8" s="1">
        <f t="shared" si="0"/>
        <v>324037.42994906404</v>
      </c>
      <c r="L8" s="1">
        <f t="shared" ref="L8:L10" si="7">L7-60000</f>
        <v>180000</v>
      </c>
      <c r="M8" s="1">
        <f t="shared" ref="M8:M10" si="8">M7-43000</f>
        <v>129000</v>
      </c>
      <c r="N8" s="1">
        <f t="shared" si="1"/>
        <v>633037.42994906404</v>
      </c>
      <c r="O8" s="1">
        <f>I22</f>
        <v>642967.45249663189</v>
      </c>
      <c r="P8" s="1">
        <v>0</v>
      </c>
      <c r="R8" s="86"/>
      <c r="S8" s="86"/>
      <c r="T8" s="19"/>
    </row>
    <row r="9" spans="2:20" x14ac:dyDescent="0.25">
      <c r="B9" s="6">
        <v>43281</v>
      </c>
      <c r="C9" s="43">
        <f t="shared" si="2"/>
        <v>527554.65948004788</v>
      </c>
      <c r="D9" s="43">
        <f t="shared" si="3"/>
        <v>203517.22953098384</v>
      </c>
      <c r="E9" s="1">
        <f t="shared" si="4"/>
        <v>324037.42994906404</v>
      </c>
      <c r="F9" s="1">
        <f>'Rehabilitation Provision'!D19</f>
        <v>0</v>
      </c>
      <c r="G9" s="1">
        <f>G8</f>
        <v>108012.47664968802</v>
      </c>
      <c r="H9" s="43">
        <f t="shared" si="5"/>
        <v>527554.65948004788</v>
      </c>
      <c r="I9" s="43">
        <f t="shared" si="6"/>
        <v>311529.70618067187</v>
      </c>
      <c r="J9" s="1">
        <f t="shared" si="0"/>
        <v>216024.95329937601</v>
      </c>
      <c r="L9" s="1">
        <f t="shared" si="7"/>
        <v>120000</v>
      </c>
      <c r="M9" s="1">
        <f t="shared" si="8"/>
        <v>86000</v>
      </c>
      <c r="N9" s="1">
        <f t="shared" si="1"/>
        <v>422024.95329937601</v>
      </c>
      <c r="O9" s="1">
        <f>I23</f>
        <v>427834.60368028557</v>
      </c>
      <c r="P9" s="1">
        <v>0</v>
      </c>
      <c r="R9" s="86"/>
      <c r="S9" s="86"/>
      <c r="T9" s="19"/>
    </row>
    <row r="10" spans="2:20" x14ac:dyDescent="0.25">
      <c r="B10" s="6">
        <v>43646</v>
      </c>
      <c r="C10" s="43">
        <f t="shared" si="2"/>
        <v>527554.65948004788</v>
      </c>
      <c r="D10" s="43">
        <f t="shared" si="3"/>
        <v>311529.70618067187</v>
      </c>
      <c r="E10" s="1">
        <f t="shared" si="4"/>
        <v>216024.95329937601</v>
      </c>
      <c r="F10" s="85">
        <f>'Rehabilitation Provision'!D20-F14</f>
        <v>125380.76967166748</v>
      </c>
      <c r="G10" s="85">
        <f>E10*0.5</f>
        <v>108012.476649688</v>
      </c>
      <c r="H10" s="86">
        <f t="shared" si="5"/>
        <v>652935.42915171536</v>
      </c>
      <c r="I10" s="86">
        <f t="shared" si="6"/>
        <v>419542.1828303599</v>
      </c>
      <c r="J10" s="85">
        <f>E10+F10-G10</f>
        <v>233393.24632135549</v>
      </c>
      <c r="L10" s="1">
        <f t="shared" si="7"/>
        <v>60000</v>
      </c>
      <c r="M10" s="1">
        <f t="shared" si="8"/>
        <v>43000</v>
      </c>
      <c r="N10" s="1">
        <f t="shared" si="1"/>
        <v>336393.24632135546</v>
      </c>
      <c r="O10" s="1">
        <f>I24</f>
        <v>212935.75040008864</v>
      </c>
      <c r="P10" s="89">
        <f>O10-N10</f>
        <v>-123457.49592126682</v>
      </c>
      <c r="R10" s="86"/>
      <c r="S10" s="86"/>
      <c r="T10" s="19"/>
    </row>
    <row r="11" spans="2:20" s="93" customFormat="1" x14ac:dyDescent="0.25">
      <c r="B11" s="94">
        <v>43646</v>
      </c>
      <c r="C11" s="94" t="s">
        <v>125</v>
      </c>
      <c r="D11" s="92"/>
      <c r="E11" s="91"/>
      <c r="F11" s="91">
        <f>P10</f>
        <v>-123457.49592126682</v>
      </c>
      <c r="G11" s="91"/>
      <c r="H11" s="92">
        <f>H10+F11</f>
        <v>529477.93323044851</v>
      </c>
      <c r="I11" s="92">
        <f>I10</f>
        <v>419542.1828303599</v>
      </c>
      <c r="J11" s="91">
        <f>H11-I11</f>
        <v>109935.75040008861</v>
      </c>
      <c r="K11" s="95"/>
      <c r="L11" s="91">
        <v>60000</v>
      </c>
      <c r="M11" s="91">
        <v>43000</v>
      </c>
      <c r="N11" s="91">
        <f>J11</f>
        <v>109935.75040008861</v>
      </c>
      <c r="O11" s="90">
        <f>I24</f>
        <v>212935.75040008864</v>
      </c>
      <c r="P11" s="91">
        <v>0</v>
      </c>
      <c r="R11" s="92"/>
      <c r="S11" s="92"/>
      <c r="T11" s="95"/>
    </row>
    <row r="12" spans="2:20" x14ac:dyDescent="0.25">
      <c r="B12" s="6">
        <v>44012</v>
      </c>
      <c r="C12" s="43">
        <f>H11</f>
        <v>529477.93323044851</v>
      </c>
      <c r="D12" s="43">
        <f>I10</f>
        <v>419542.1828303599</v>
      </c>
      <c r="E12" s="1">
        <f>J11</f>
        <v>109935.75040008861</v>
      </c>
      <c r="F12" s="85">
        <v>0</v>
      </c>
      <c r="G12" s="85">
        <f>E12*1</f>
        <v>109935.75040008861</v>
      </c>
      <c r="H12" s="86">
        <f t="shared" si="5"/>
        <v>529477.93323044851</v>
      </c>
      <c r="I12" s="86">
        <f t="shared" si="6"/>
        <v>529477.93323044851</v>
      </c>
      <c r="J12" s="85">
        <f t="shared" si="0"/>
        <v>0</v>
      </c>
      <c r="L12" s="1">
        <f>L10-60000</f>
        <v>0</v>
      </c>
      <c r="M12" s="1">
        <f>M10-43000</f>
        <v>0</v>
      </c>
      <c r="N12" s="1">
        <f t="shared" si="1"/>
        <v>0</v>
      </c>
      <c r="O12" s="1">
        <f t="shared" ref="O12" si="9">I25</f>
        <v>0</v>
      </c>
      <c r="P12" s="1">
        <f t="shared" ref="P12" si="10">O12-N12</f>
        <v>0</v>
      </c>
      <c r="R12" s="19"/>
      <c r="S12" s="19"/>
      <c r="T12" s="19"/>
    </row>
    <row r="13" spans="2:20" x14ac:dyDescent="0.25">
      <c r="E13" s="1"/>
      <c r="F13" s="85"/>
      <c r="G13" s="85"/>
      <c r="H13" s="85"/>
      <c r="I13" s="85"/>
      <c r="J13" s="85"/>
      <c r="P13" s="8"/>
      <c r="R13" s="19"/>
      <c r="S13" s="19"/>
      <c r="T13" s="19"/>
    </row>
    <row r="14" spans="2:20" x14ac:dyDescent="0.25">
      <c r="E14" s="1"/>
      <c r="F14" s="85"/>
      <c r="G14" s="85"/>
      <c r="H14" s="85"/>
      <c r="I14" s="85"/>
      <c r="J14" s="85"/>
      <c r="R14" s="19"/>
      <c r="S14" s="19"/>
      <c r="T14" s="19"/>
    </row>
    <row r="15" spans="2:20" x14ac:dyDescent="0.25">
      <c r="E15" s="1"/>
      <c r="F15" s="1"/>
      <c r="G15" s="1"/>
      <c r="H15" s="1"/>
      <c r="I15" s="1"/>
      <c r="J15" s="1"/>
    </row>
    <row r="16" spans="2:20" x14ac:dyDescent="0.25">
      <c r="B16" t="s">
        <v>66</v>
      </c>
    </row>
    <row r="19" spans="2:10" ht="45" x14ac:dyDescent="0.25">
      <c r="B19" s="61" t="s">
        <v>95</v>
      </c>
      <c r="C19" s="61" t="s">
        <v>98</v>
      </c>
      <c r="D19" s="61" t="s">
        <v>67</v>
      </c>
      <c r="E19" s="61" t="s">
        <v>68</v>
      </c>
      <c r="F19" s="61" t="s">
        <v>43</v>
      </c>
      <c r="G19" s="61" t="s">
        <v>99</v>
      </c>
      <c r="H19" s="61"/>
      <c r="I19" s="61" t="s">
        <v>96</v>
      </c>
    </row>
    <row r="20" spans="2:10" x14ac:dyDescent="0.25">
      <c r="B20" s="6">
        <v>42185</v>
      </c>
      <c r="H20" s="6">
        <v>42185</v>
      </c>
      <c r="I20" s="1">
        <f>SUM(G21:G25)</f>
        <v>1073632.3175059927</v>
      </c>
      <c r="J20" s="86"/>
    </row>
    <row r="21" spans="2:10" x14ac:dyDescent="0.25">
      <c r="B21" s="6">
        <v>42551</v>
      </c>
      <c r="C21" s="1">
        <v>215000</v>
      </c>
      <c r="D21" s="7">
        <v>1.02</v>
      </c>
      <c r="E21" s="43">
        <f>C21*D21</f>
        <v>219300</v>
      </c>
      <c r="F21" s="7">
        <v>1.0184500000000001</v>
      </c>
      <c r="G21" s="8">
        <f>E21/F21</f>
        <v>215327.21292159654</v>
      </c>
      <c r="H21" s="6">
        <v>42551</v>
      </c>
      <c r="I21" s="1">
        <f>SUM(G22:G25)</f>
        <v>858305.10458439612</v>
      </c>
      <c r="J21" s="86"/>
    </row>
    <row r="22" spans="2:10" x14ac:dyDescent="0.25">
      <c r="B22" s="6">
        <v>42916</v>
      </c>
      <c r="C22" s="1">
        <f>C21</f>
        <v>215000</v>
      </c>
      <c r="D22" s="7">
        <v>1.0404</v>
      </c>
      <c r="E22" s="43">
        <f t="shared" ref="E22:E25" si="11">C22*D22</f>
        <v>223686</v>
      </c>
      <c r="F22" s="7">
        <v>1.0387686400000002</v>
      </c>
      <c r="G22" s="8">
        <f t="shared" ref="G22:G25" si="12">E22/F22</f>
        <v>215337.65208776417</v>
      </c>
      <c r="H22" s="6">
        <v>42916</v>
      </c>
      <c r="I22" s="1">
        <f>SUM(G23:G25)</f>
        <v>642967.45249663189</v>
      </c>
      <c r="J22" s="86"/>
    </row>
    <row r="23" spans="2:10" x14ac:dyDescent="0.25">
      <c r="B23" s="6">
        <v>43281</v>
      </c>
      <c r="C23" s="1">
        <f t="shared" ref="C23:C25" si="13">C22</f>
        <v>215000</v>
      </c>
      <c r="D23" s="7">
        <v>1.0612079999999999</v>
      </c>
      <c r="E23" s="43">
        <f t="shared" si="11"/>
        <v>228159.71999999997</v>
      </c>
      <c r="F23" s="7">
        <v>1.0605526829367389</v>
      </c>
      <c r="G23" s="8">
        <f t="shared" si="12"/>
        <v>215132.84881634638</v>
      </c>
      <c r="H23" s="6">
        <v>43281</v>
      </c>
      <c r="I23" s="1">
        <f>SUM(G24:G25)</f>
        <v>427834.60368028557</v>
      </c>
      <c r="J23" s="86"/>
    </row>
    <row r="24" spans="2:10" x14ac:dyDescent="0.25">
      <c r="B24" s="6">
        <v>43646</v>
      </c>
      <c r="C24" s="1">
        <f t="shared" si="13"/>
        <v>215000</v>
      </c>
      <c r="D24" s="7">
        <v>1.08243216</v>
      </c>
      <c r="E24" s="43">
        <f t="shared" si="11"/>
        <v>232722.91440000001</v>
      </c>
      <c r="F24" s="7">
        <v>1.08294162973761</v>
      </c>
      <c r="G24" s="8">
        <f t="shared" si="12"/>
        <v>214898.85328019693</v>
      </c>
      <c r="H24" s="6">
        <v>43646</v>
      </c>
      <c r="I24" s="69">
        <f>G25</f>
        <v>212935.75040008864</v>
      </c>
      <c r="J24" s="86"/>
    </row>
    <row r="25" spans="2:10" x14ac:dyDescent="0.25">
      <c r="B25" s="6">
        <v>44012</v>
      </c>
      <c r="C25" s="1">
        <f t="shared" si="13"/>
        <v>215000</v>
      </c>
      <c r="D25" s="7">
        <v>1.1040808032</v>
      </c>
      <c r="E25" s="43">
        <f t="shared" si="11"/>
        <v>237377.372688</v>
      </c>
      <c r="F25" s="7">
        <v>1.1147840240165758</v>
      </c>
      <c r="G25" s="8">
        <f t="shared" si="12"/>
        <v>212935.75040008864</v>
      </c>
      <c r="H25" s="6">
        <v>44012</v>
      </c>
      <c r="I25" s="1">
        <v>0</v>
      </c>
      <c r="J25" s="19"/>
    </row>
    <row r="28" spans="2:10" x14ac:dyDescent="0.25">
      <c r="B28" s="19"/>
    </row>
    <row r="33" spans="5:5" x14ac:dyDescent="0.25">
      <c r="E33" s="43"/>
    </row>
  </sheetData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udget Report - MS Excel" ma:contentTypeID="0x0101002517F445A0F35E449C98AAD631F2B0384520003477D4C677635D43BC9AAE357A913559" ma:contentTypeVersion="19" ma:contentTypeDescription="" ma:contentTypeScope="" ma:versionID="e15e7869950b40156195f89d4be7495a">
  <xsd:schema xmlns:xsd="http://www.w3.org/2001/XMLSchema" xmlns:xs="http://www.w3.org/2001/XMLSchema" xmlns:p="http://schemas.microsoft.com/office/2006/metadata/properties" xmlns:ns1="a5f32de4-e402-4188-b034-e71ca7d22e54" xmlns:ns2="http://schemas.microsoft.com/sharepoint/v3" targetNamespace="http://schemas.microsoft.com/office/2006/metadata/properties" ma:root="true" ma:fieldsID="a82821818a09477b4c83f23109f15025" ns1:_="" ns2:_="">
    <xsd:import namespace="a5f32de4-e402-4188-b034-e71ca7d22e54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_dlc_DocIdUrl" minOccurs="0"/>
                <xsd:element ref="ns1:_dlc_DocId" minOccurs="0"/>
                <xsd:element ref="ns2:RoutingRuleDescription" minOccurs="0"/>
                <xsd:element ref="ns2:Language"/>
                <xsd:element ref="ns1:fb3179c379644f499d7166d0c985669b" minOccurs="0"/>
                <xsd:element ref="ns1:TaxCatchAll" minOccurs="0"/>
                <xsd:element ref="ns1:TaxCatchAllLabel" minOccurs="0"/>
                <xsd:element ref="ns1:ece32f50ba964e1fbf627a9d83fe6c01" minOccurs="0"/>
                <xsd:element ref="ns1:ic50d0a05a8e4d9791dac67f8a1e716c" minOccurs="0"/>
                <xsd:element ref="ns1:n771d69a070c4babbf278c67c8a2b859" minOccurs="0"/>
                <xsd:element ref="ns1:_dlc_DocIdPersistId" minOccurs="0"/>
                <xsd:element ref="ns1:pd01c257034b4e86b1f58279a3bd54c6" minOccurs="0"/>
                <xsd:element ref="ns1:k1bd994a94c2413797db3bab8f123f6f" minOccurs="0"/>
                <xsd:element ref="ns1:a25c4e3633654d669cbaa09ae6b70789" minOccurs="0"/>
                <xsd:element ref="ns1:mfe9accc5a0b4653a7b513b67ffd122d" minOccurs="0"/>
                <xsd:element ref="ns1:Financial_x0020_Year" minOccurs="0"/>
                <xsd:element ref="ns1:i5551a600e734172b7209c27fd0b68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2de4-e402-4188-b034-e71ca7d22e54" elementFormDefault="qualified">
    <xsd:import namespace="http://schemas.microsoft.com/office/2006/documentManagement/types"/>
    <xsd:import namespace="http://schemas.microsoft.com/office/infopath/2007/PartnerControls"/>
    <xsd:element name="_dlc_DocIdUrl" ma:index="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fb3179c379644f499d7166d0c985669b" ma:index="14" ma:taxonomy="true" ma:internalName="fb3179c379644f499d7166d0c985669b" ma:taxonomyFieldName="Dissemination_x0020_Limiting_x0020_Marker" ma:displayName="Dissemination Limiting Marker" ma:readOnly="false" ma:default="2;#FOUO|955eb6fc-b35a-4808-8aa5-31e514fa3f26" ma:fieldId="{fb3179c3-7964-4f49-9d71-66d0c985669b}" ma:sspId="3452d580-73c1-4b2b-acb3-3600a17877a9" ma:termSetId="f41b4dff-1c0e-42ed-b4e6-3638cbec140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6ae5d322-b70d-423c-83c0-b783e570cf49}" ma:internalName="TaxCatchAll" ma:showField="CatchAllData" ma:web="4942287b-c913-459e-912d-c0d05ccce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hidden="true" ma:list="{6ae5d322-b70d-423c-83c0-b783e570cf49}" ma:internalName="TaxCatchAllLabel" ma:readOnly="true" ma:showField="CatchAllDataLabel" ma:web="4942287b-c913-459e-912d-c0d05ccce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e32f50ba964e1fbf627a9d83fe6c01" ma:index="18" ma:taxonomy="true" ma:internalName="ece32f50ba964e1fbf627a9d83fe6c01" ma:taxonomyFieldName="Agency" ma:displayName="Agency" ma:readOnly="false" ma:default="1;#Department of Environment, Land, Water and Planning|607a3f87-1228-4cd9-82a5-076aa8776274" ma:fieldId="{ece32f50-ba96-4e1f-bf62-7a9d83fe6c01}" ma:sspId="3452d580-73c1-4b2b-acb3-3600a17877a9" ma:termSetId="8802f075-2b41-4f09-b612-1b6d41c66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c50d0a05a8e4d9791dac67f8a1e716c" ma:index="20" ma:taxonomy="true" ma:internalName="ic50d0a05a8e4d9791dac67f8a1e716c" ma:taxonomyFieldName="Group1" ma:displayName="Group" ma:default="" ma:fieldId="{2c50d0a0-5a8e-4d97-91da-c67f8a1e716c}" ma:sspId="3452d580-73c1-4b2b-acb3-3600a17877a9" ma:termSetId="4ea60e42-aaf2-4d08-ba07-c252f1e94b4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71d69a070c4babbf278c67c8a2b859" ma:index="22" ma:taxonomy="true" ma:internalName="n771d69a070c4babbf278c67c8a2b859" ma:taxonomyFieldName="Division" ma:displayName="Division" ma:default="" ma:fieldId="{7771d69a-070c-4bab-bf27-8c67c8a2b859}" ma:sspId="3452d580-73c1-4b2b-acb3-3600a17877a9" ma:termSetId="0b563327-3fd1-4e33-bf14-c9e227ef5a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d01c257034b4e86b1f58279a3bd54c6" ma:index="25" ma:taxonomy="true" ma:internalName="pd01c257034b4e86b1f58279a3bd54c6" ma:taxonomyFieldName="Security_x0020_Classification" ma:displayName="Security Classification" ma:readOnly="false" ma:default="3;#Unclassified|7fa379f4-4aba-4692-ab80-7d39d3a23cf4" ma:fieldId="{9d01c257-034b-4e86-b1f5-8279a3bd54c6}" ma:sspId="3452d580-73c1-4b2b-acb3-3600a17877a9" ma:termSetId="6da6c671-4dae-4188-8808-548c864e9f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1bd994a94c2413797db3bab8f123f6f" ma:index="26" nillable="true" ma:taxonomy="true" ma:internalName="k1bd994a94c2413797db3bab8f123f6f" ma:taxonomyFieldName="Section" ma:displayName="Section" ma:readOnly="false" ma:default="" ma:fieldId="{41bd994a-94c2-4137-97db-3bab8f123f6f}" ma:sspId="3452d580-73c1-4b2b-acb3-3600a17877a9" ma:termSetId="7ed103ff-4fe0-4197-8cbd-8afd7af5c0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25c4e3633654d669cbaa09ae6b70789" ma:index="28" nillable="true" ma:taxonomy="true" ma:internalName="a25c4e3633654d669cbaa09ae6b70789" ma:taxonomyFieldName="Sub_x002d_Section" ma:displayName="Sub-Section" ma:readOnly="false" ma:default="" ma:fieldId="{a25c4e36-3365-4d66-9cba-a09ae6b70789}" ma:sspId="3452d580-73c1-4b2b-acb3-3600a17877a9" ma:termSetId="52866136-d969-4b31-8d96-2f1d875187a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e9accc5a0b4653a7b513b67ffd122d" ma:index="30" ma:taxonomy="true" ma:internalName="mfe9accc5a0b4653a7b513b67ffd122d" ma:taxonomyFieldName="Branch" ma:displayName="Branch" ma:default="" ma:fieldId="{6fe9accc-5a0b-4653-a7b5-13b67ffd122d}" ma:sspId="3452d580-73c1-4b2b-acb3-3600a17877a9" ma:termSetId="2966b9b6-b7ea-4bfd-a4f9-f27ab5012f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nancial_x0020_Year" ma:index="31" nillable="true" ma:displayName="Financial Year" ma:internalName="Financi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2013-14"/>
                    <xsd:enumeration value="2014-15"/>
                    <xsd:enumeration value="2015-16"/>
                    <xsd:enumeration value="2016-17"/>
                    <xsd:enumeration value="2017-18"/>
                    <xsd:enumeration value="2018-19"/>
                    <xsd:enumeration value="2019-20"/>
                    <xsd:enumeration value="Other"/>
                  </xsd:restriction>
                </xsd:simpleType>
              </xsd:element>
            </xsd:sequence>
          </xsd:extension>
        </xsd:complexContent>
      </xsd:complexType>
    </xsd:element>
    <xsd:element name="i5551a600e734172b7209c27fd0b6842" ma:index="32" nillable="true" ma:taxonomy="true" ma:internalName="i5551a600e734172b7209c27fd0b6842" ma:taxonomyFieldName="Local_x0020_Government_x0020_Authority_x0020__x0028_LGA_x0029_" ma:displayName="Local Government Authority (LGA)" ma:default="" ma:fieldId="{25551a60-0e73-4172-b720-9c27fd0b6842}" ma:sspId="3452d580-73c1-4b2b-acb3-3600a17877a9" ma:termSetId="9d3a11de-9da4-4c91-acbe-7df21a7a193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4" nillable="true" ma:displayName="Description" ma:description="Further keywords or terms that best describe the document content that DO NOT appear in the Title or File Name." ma:internalName="RoutingRuleDescription" ma:readOnly="false">
      <xsd:simpleType>
        <xsd:restriction base="dms:Text">
          <xsd:maxLength value="255"/>
        </xsd:restriction>
      </xsd:simpleType>
    </xsd:element>
    <xsd:element name="Language" ma:index="13" ma:displayName="Language" ma:default="English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>/</xsnScope>
</customXsn>
</file>

<file path=customXml/item3.xml><?xml version="1.0" encoding="utf-8"?>
<?mso-contentType ?>
<SharedContentType xmlns="Microsoft.SharePoint.Taxonomy.ContentTypeSync" SourceId="3452d580-73c1-4b2b-acb3-3600a17877a9" ContentTypeId="0x0101002517F445A0F35E449C98AAD631F2B0384520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English</Language>
    <fb3179c379644f499d7166d0c985669b xmlns="a5f32de4-e402-4188-b034-e71ca7d22e54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FOUO</TermName>
          <TermId xmlns="http://schemas.microsoft.com/office/infopath/2007/PartnerControls">955eb6fc-b35a-4808-8aa5-31e514fa3f26</TermId>
        </TermInfo>
      </Terms>
    </fb3179c379644f499d7166d0c985669b>
    <mfe9accc5a0b4653a7b513b67ffd122d xmlns="a5f32de4-e402-4188-b034-e71ca7d22e5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Sector Performance and Development</TermName>
          <TermId xmlns="http://schemas.microsoft.com/office/infopath/2007/PartnerControls">76390a19-a1fc-4284-a89c-58f68cd51307</TermId>
        </TermInfo>
      </Terms>
    </mfe9accc5a0b4653a7b513b67ffd122d>
    <TaxCatchAll xmlns="a5f32de4-e402-4188-b034-e71ca7d22e54">
      <Value>7</Value>
      <Value>6</Value>
      <Value>5</Value>
      <Value>3</Value>
      <Value>2</Value>
      <Value>1</Value>
    </TaxCatchAll>
    <ece32f50ba964e1fbf627a9d83fe6c01 xmlns="a5f32de4-e402-4188-b034-e71ca7d22e5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Environment, Land, Water and Planning</TermName>
          <TermId xmlns="http://schemas.microsoft.com/office/infopath/2007/PartnerControls">607a3f87-1228-4cd9-82a5-076aa8776274</TermId>
        </TermInfo>
      </Terms>
    </ece32f50ba964e1fbf627a9d83fe6c01>
    <Financial_x0020_Year xmlns="a5f32de4-e402-4188-b034-e71ca7d22e54"/>
    <i5551a600e734172b7209c27fd0b6842 xmlns="a5f32de4-e402-4188-b034-e71ca7d22e54">
      <Terms xmlns="http://schemas.microsoft.com/office/infopath/2007/PartnerControls"/>
    </i5551a600e734172b7209c27fd0b6842>
    <RoutingRuleDescription xmlns="http://schemas.microsoft.com/sharepoint/v3" xsi:nil="true"/>
    <n771d69a070c4babbf278c67c8a2b859 xmlns="a5f32de4-e402-4188-b034-e71ca7d22e54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Local Government Victoria</TermName>
          <TermId xmlns="http://schemas.microsoft.com/office/infopath/2007/PartnerControls">f6ecfee0-2e0c-4d0c-8535-bce6333ce498</TermId>
        </TermInfo>
      </Terms>
    </n771d69a070c4babbf278c67c8a2b859>
    <k1bd994a94c2413797db3bab8f123f6f xmlns="a5f32de4-e402-4188-b034-e71ca7d22e54">
      <Terms xmlns="http://schemas.microsoft.com/office/infopath/2007/PartnerControls"/>
    </k1bd994a94c2413797db3bab8f123f6f>
    <pd01c257034b4e86b1f58279a3bd54c6 xmlns="a5f32de4-e402-4188-b034-e71ca7d22e54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7fa379f4-4aba-4692-ab80-7d39d3a23cf4</TermId>
        </TermInfo>
      </Terms>
    </pd01c257034b4e86b1f58279a3bd54c6>
    <ic50d0a05a8e4d9791dac67f8a1e716c xmlns="a5f32de4-e402-4188-b034-e71ca7d22e54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Local Infrastructure</TermName>
          <TermId xmlns="http://schemas.microsoft.com/office/infopath/2007/PartnerControls">35232ce7-1039-46ab-a331-4c8e969be43f</TermId>
        </TermInfo>
      </Terms>
    </ic50d0a05a8e4d9791dac67f8a1e716c>
    <a25c4e3633654d669cbaa09ae6b70789 xmlns="a5f32de4-e402-4188-b034-e71ca7d22e54">
      <Terms xmlns="http://schemas.microsoft.com/office/infopath/2007/PartnerControls"/>
    </a25c4e3633654d669cbaa09ae6b70789>
    <_dlc_DocId xmlns="a5f32de4-e402-4188-b034-e71ca7d22e54">DOCID208-16-673</_dlc_DocId>
    <_dlc_DocIdUrl xmlns="a5f32de4-e402-4188-b034-e71ca7d22e54">
      <Url>https://ecm.delwp.vic.gov.au/sites/ecm_208/_layouts/15/DocIdRedir.aspx?ID=DOCID208-16-673</Url>
      <Description>DOCID208-16-673</Description>
    </_dlc_DocIdUrl>
  </documentManagement>
</p:properties>
</file>

<file path=customXml/itemProps1.xml><?xml version="1.0" encoding="utf-8"?>
<ds:datastoreItem xmlns:ds="http://schemas.openxmlformats.org/officeDocument/2006/customXml" ds:itemID="{8DF436B3-3B75-4266-97CF-DF7A054E5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2de4-e402-4188-b034-e71ca7d22e54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FA8FB-7965-4602-B231-EB406A2D4525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5E4DDD0B-0118-4270-8369-D5601478C0D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2445CFF-2A47-4EB5-9DF1-474622A8B5D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90858AB-1A5A-4F73-A358-C256D77CC907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998EC7BF-CD56-49BF-9098-2B5690CAFB0E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a5f32de4-e402-4188-b034-e71ca7d22e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P&amp;l and Balance Sheet</vt:lpstr>
      <vt:lpstr>Site improvements &amp; Cell Constr</vt:lpstr>
      <vt:lpstr>Rehabilitation Provision</vt:lpstr>
      <vt:lpstr>Landfill intangible</vt:lpstr>
      <vt:lpstr>'P&amp;l and Balance Sheet'!Print_Area</vt:lpstr>
      <vt:lpstr>'Site improvements &amp; Cell Constr'!Print_Area</vt:lpstr>
    </vt:vector>
  </TitlesOfParts>
  <Company>Crowe Horwath (Aust) Pty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Landfill example_workbook_Nov 16_DOS_edits</dc:title>
  <dc:creator>Martin Thompson</dc:creator>
  <cp:lastModifiedBy>Julia Keeble</cp:lastModifiedBy>
  <cp:lastPrinted>2017-01-13T05:49:10Z</cp:lastPrinted>
  <dcterms:created xsi:type="dcterms:W3CDTF">2015-06-29T00:21:56Z</dcterms:created>
  <dcterms:modified xsi:type="dcterms:W3CDTF">2017-02-14T01:25:26Z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0x0101002517F445A0F35E449C98AAD631F2B0384520003477D4C677635D43BC9AAE357A913559</vt:lpwstr>
  </property>
  <property fmtid="{D5CDD505-2E9C-101B-9397-08002B2CF9AE}" pid="3" name="_dlc_DocIdItemGuid">
    <vt:lpwstr>d77e58c0-c610-4f54-abbc-9b918b77c95f</vt:lpwstr>
  </property>
  <property fmtid="{D5CDD505-2E9C-101B-9397-08002B2CF9AE}" pid="4" name="Section">
    <vt:lpwstr/>
  </property>
  <property fmtid="{D5CDD505-2E9C-101B-9397-08002B2CF9AE}" pid="5" name="Local Government Authority (LGA)">
    <vt:lpwstr/>
  </property>
  <property fmtid="{D5CDD505-2E9C-101B-9397-08002B2CF9AE}" pid="6" name="Sub-Section">
    <vt:lpwstr/>
  </property>
  <property fmtid="{D5CDD505-2E9C-101B-9397-08002B2CF9AE}" pid="7" name="Agency">
    <vt:lpwstr>1;#Department of Environment, Land, Water and Planning|607a3f87-1228-4cd9-82a5-076aa8776274</vt:lpwstr>
  </property>
  <property fmtid="{D5CDD505-2E9C-101B-9397-08002B2CF9AE}" pid="8" name="Branch">
    <vt:lpwstr>5;#Sector Performance and Development|76390a19-a1fc-4284-a89c-58f68cd51307</vt:lpwstr>
  </property>
  <property fmtid="{D5CDD505-2E9C-101B-9397-08002B2CF9AE}" pid="9" name="Group1">
    <vt:lpwstr>7;#Local Infrastructure|35232ce7-1039-46ab-a331-4c8e969be43f</vt:lpwstr>
  </property>
  <property fmtid="{D5CDD505-2E9C-101B-9397-08002B2CF9AE}" pid="10" name="Dissemination Limiting Marker">
    <vt:lpwstr>2;#FOUO|955eb6fc-b35a-4808-8aa5-31e514fa3f26</vt:lpwstr>
  </property>
  <property fmtid="{D5CDD505-2E9C-101B-9397-08002B2CF9AE}" pid="11" name="Security Classification">
    <vt:lpwstr>3;#Unclassified|7fa379f4-4aba-4692-ab80-7d39d3a23cf4</vt:lpwstr>
  </property>
  <property fmtid="{D5CDD505-2E9C-101B-9397-08002B2CF9AE}" pid="12" name="Division">
    <vt:lpwstr>6;#Local Government Victoria|f6ecfee0-2e0c-4d0c-8535-bce6333ce498</vt:lpwstr>
  </property>
  <property fmtid="{D5CDD505-2E9C-101B-9397-08002B2CF9AE}" pid="13" name="Order">
    <vt:r8>63600</vt:r8>
  </property>
</Properties>
</file>